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W87p034aZBgpUG4uI1rX3OugIIzpN+kQR+CaJdhxbipoVvftxVe/yeEZCtHCN7RgCTGn2rLiBHn19D3d40AJPQ==" workbookSaltValue="kqImPOzYfUP9ZWUJtoZrg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E12" i="6"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ES19" i="8"/>
  <c r="AC19" i="8"/>
  <c r="BH19" i="13"/>
  <c r="R19" i="8"/>
  <c r="EP19" i="8"/>
  <c r="EP19" i="19"/>
  <c r="AT17" i="20"/>
  <c r="K18" i="2"/>
  <c r="M13" i="2"/>
  <c r="H13" i="12"/>
  <c r="T13" i="16"/>
  <c r="T13" i="20"/>
  <c r="BB13" i="13"/>
  <c r="BF9" i="8"/>
  <c r="J18" i="17"/>
  <c r="BG15" i="13"/>
  <c r="BA18" i="13"/>
  <c r="BE15" i="13"/>
  <c r="AH20" i="20"/>
  <c r="AL20" i="20"/>
  <c r="AO20" i="20"/>
  <c r="AN20" i="20"/>
  <c r="Y20" i="20"/>
  <c r="U10" i="11"/>
  <c r="AB20" i="20"/>
  <c r="C17" i="6" l="1"/>
  <c r="AJ19" i="8"/>
  <c r="T13" i="12"/>
  <c r="BD12" i="8"/>
  <c r="H12" i="7" s="1"/>
  <c r="AC10" i="11"/>
  <c r="D10" i="6"/>
  <c r="BE10" i="8"/>
  <c r="AL9" i="11"/>
  <c r="N13" i="2"/>
  <c r="F9" i="2"/>
  <c r="AL12" i="11"/>
  <c r="AO12" i="11"/>
  <c r="B10" i="6"/>
  <c r="H12" i="2"/>
  <c r="AY13" i="8"/>
  <c r="L9" i="14"/>
  <c r="C10" i="6"/>
  <c r="AY13" i="13"/>
  <c r="BG15" i="8"/>
  <c r="K15" i="7" s="1"/>
  <c r="BD16" i="8"/>
  <c r="AO17" i="11"/>
  <c r="L16" i="14"/>
  <c r="L17" i="14"/>
  <c r="F15" i="17"/>
  <c r="AQ15" i="17" s="1"/>
  <c r="L12" i="14"/>
  <c r="BA13" i="13"/>
  <c r="R8" i="9"/>
  <c r="AA16" i="16" s="1"/>
  <c r="AA11" i="16"/>
  <c r="AZ17" i="11"/>
  <c r="R10" i="14"/>
  <c r="AA15" i="16"/>
  <c r="AA12" i="21"/>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I9" i="7" s="1"/>
  <c r="BD15" i="8"/>
  <c r="H15" i="7" s="1"/>
  <c r="AM12" i="11"/>
  <c r="D17" i="2"/>
  <c r="AM16" i="11"/>
  <c r="L19" i="8"/>
  <c r="J12" i="2"/>
  <c r="E18" i="12"/>
  <c r="B18" i="2"/>
  <c r="G17" i="3"/>
  <c r="I10" i="3"/>
  <c r="D13" i="5"/>
  <c r="BF11" i="8"/>
  <c r="BE12" i="8"/>
  <c r="BE15" i="8"/>
  <c r="C16" i="6"/>
  <c r="U19" i="8"/>
  <c r="Y19" i="8"/>
  <c r="AI19" i="8"/>
  <c r="BK19" i="8"/>
  <c r="B11" i="6"/>
  <c r="C12" i="14"/>
  <c r="K12" i="14" s="1"/>
  <c r="K18" i="11"/>
  <c r="E9" i="6"/>
  <c r="K9" i="12" s="1"/>
  <c r="H9" i="7"/>
  <c r="K9" i="7"/>
  <c r="AO12"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G20" i="20"/>
  <c r="Z20" i="20"/>
  <c r="G18" i="14"/>
  <c r="X20" i="20"/>
  <c r="AU20" i="20"/>
  <c r="AF20" i="20"/>
  <c r="F20" i="20"/>
  <c r="AK20" i="20"/>
  <c r="W20" i="21"/>
  <c r="AV20" i="20"/>
  <c r="AQ20" i="21"/>
  <c r="K20" i="20"/>
  <c r="AD20" i="20"/>
  <c r="AJ20" i="20"/>
  <c r="J20" i="20"/>
  <c r="O16" i="11"/>
  <c r="U12" i="11"/>
  <c r="S20" i="20"/>
  <c r="U16" i="11"/>
  <c r="AE20" i="20"/>
  <c r="J18" i="2" l="1"/>
  <c r="F13" i="2"/>
  <c r="I10" i="12"/>
  <c r="C13" i="6"/>
  <c r="AO10" i="17"/>
  <c r="AO15" i="17"/>
  <c r="L11" i="2"/>
  <c r="T17" i="20"/>
  <c r="S15" i="14"/>
  <c r="V15" i="14" s="1"/>
  <c r="X12" i="16"/>
  <c r="S11" i="17"/>
  <c r="X12" i="17"/>
  <c r="V15" i="20"/>
  <c r="V18" i="20" s="1"/>
  <c r="S10" i="17"/>
  <c r="U10" i="21"/>
  <c r="X9" i="17"/>
  <c r="X16" i="17"/>
  <c r="R16" i="14"/>
  <c r="S10" i="14"/>
  <c r="V10" i="14" s="1"/>
  <c r="L12" i="2"/>
  <c r="AZ11" i="11"/>
  <c r="V15" i="16"/>
  <c r="X17" i="17"/>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BL15" i="11"/>
  <c r="BL10" i="11"/>
  <c r="BH10" i="16"/>
  <c r="Q15" i="17"/>
  <c r="BM17" i="11"/>
  <c r="BF15" i="11"/>
  <c r="BM9" i="11"/>
  <c r="BH12" i="16"/>
  <c r="BK10" i="11"/>
  <c r="L15" i="2"/>
  <c r="L17" i="2"/>
  <c r="V10" i="16"/>
  <c r="V9" i="16"/>
  <c r="BF11" i="11"/>
  <c r="BL9" i="11"/>
  <c r="BG10" i="11"/>
  <c r="P17" i="17"/>
  <c r="BK12" i="11"/>
  <c r="BK9" i="11"/>
  <c r="BK15" i="11"/>
  <c r="BI10" i="11"/>
  <c r="V9" i="11"/>
  <c r="R10" i="21"/>
  <c r="BG9" i="11"/>
  <c r="BH17" i="11"/>
  <c r="T17" i="16"/>
  <c r="BU11" i="17"/>
  <c r="BU10" i="17"/>
  <c r="BW12" i="20"/>
  <c r="BW11" i="20"/>
  <c r="BW10" i="20"/>
  <c r="BU12" i="17"/>
  <c r="AZ12" i="11"/>
  <c r="Q17" i="17"/>
  <c r="BI9" i="11"/>
  <c r="BJ10" i="11"/>
  <c r="BH11" i="11"/>
  <c r="BH16" i="11"/>
  <c r="BJ16" i="11"/>
  <c r="L16" i="2"/>
  <c r="L9" i="2"/>
  <c r="T9" i="11"/>
  <c r="BH11" i="16"/>
  <c r="BH17" i="16"/>
  <c r="BM16" i="11"/>
  <c r="BL17" i="11"/>
  <c r="BF10" i="11"/>
  <c r="V11" i="11"/>
  <c r="Q10" i="21"/>
  <c r="BJ11" i="11"/>
  <c r="BI17" i="11"/>
  <c r="BL11" i="11"/>
  <c r="BM15" i="11"/>
  <c r="T15" i="16"/>
  <c r="T18" i="16" s="1"/>
  <c r="T19" i="16" s="1"/>
  <c r="BV17" i="16"/>
  <c r="BV12" i="16"/>
  <c r="BV11" i="16"/>
  <c r="U10" i="17"/>
  <c r="V12" i="16"/>
  <c r="BG12" i="11"/>
  <c r="BH10" i="11"/>
  <c r="AQ10" i="21"/>
  <c r="BK16" i="11"/>
  <c r="BG16" i="11"/>
  <c r="P16" i="11" s="1"/>
  <c r="AQ12" i="21"/>
  <c r="BL16" i="11"/>
  <c r="U9" i="17"/>
  <c r="U19" i="17" s="1"/>
  <c r="T12" i="11"/>
  <c r="R11" i="14"/>
  <c r="S12" i="14"/>
  <c r="V12" i="14" s="1"/>
  <c r="V13" i="14" s="1"/>
  <c r="V10" i="21"/>
  <c r="X13" i="17"/>
  <c r="AM9" i="11"/>
  <c r="AO17" i="17"/>
  <c r="AO16" i="17"/>
  <c r="AM15" i="11"/>
  <c r="X15" i="16"/>
  <c r="X18" i="16" s="1"/>
  <c r="X9" i="16"/>
  <c r="X19" i="16" s="1"/>
  <c r="S15" i="17"/>
  <c r="X16" i="20"/>
  <c r="V12" i="21"/>
  <c r="X17" i="20"/>
  <c r="X11" i="17"/>
  <c r="X15" i="17"/>
  <c r="X10" i="17"/>
  <c r="T15" i="11"/>
  <c r="S9" i="14"/>
  <c r="V9" i="14" s="1"/>
  <c r="R12" i="14"/>
  <c r="S17" i="14"/>
  <c r="V17" i="14" s="1"/>
  <c r="S16" i="17"/>
  <c r="X10" i="21"/>
  <c r="L10" i="2"/>
  <c r="AZ15" i="11"/>
  <c r="AZ18" i="11" s="1"/>
  <c r="S17" i="17"/>
  <c r="S9" i="17"/>
  <c r="X13" i="20"/>
  <c r="AA9" i="16"/>
  <c r="AA17" i="16"/>
  <c r="AA10" i="16"/>
  <c r="S11" i="14"/>
  <c r="V11" i="14" s="1"/>
  <c r="T11" i="11"/>
  <c r="R17" i="14"/>
  <c r="S16" i="14"/>
  <c r="V16"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AS18" i="16"/>
  <c r="AZ13" i="16"/>
  <c r="AN19" i="16"/>
  <c r="AW19" i="11"/>
  <c r="Q16"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P17" i="11"/>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8" i="11"/>
  <c r="P12" i="11"/>
  <c r="BV13" i="16"/>
  <c r="BJ18" i="11"/>
  <c r="BH18" i="11"/>
  <c r="AZ19" i="11"/>
  <c r="AZ13" i="11"/>
  <c r="BH13" i="11"/>
  <c r="X13" i="16"/>
  <c r="R13" i="21"/>
  <c r="R19" i="21" s="1"/>
  <c r="P18" i="17"/>
  <c r="P19" i="17"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M20" i="16"/>
  <c r="AD20" i="11"/>
  <c r="T20" i="11"/>
  <c r="AO20" i="17"/>
  <c r="T20" i="17"/>
  <c r="S20" i="21"/>
  <c r="I20" i="11"/>
  <c r="AC20" i="21"/>
  <c r="H20" i="11"/>
  <c r="BB20" i="16"/>
  <c r="L20" i="16"/>
  <c r="P20" i="16"/>
  <c r="AO20" i="11"/>
  <c r="AL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E20" i="16"/>
  <c r="F20" i="16"/>
  <c r="Q20" i="16"/>
  <c r="AC20" i="16"/>
  <c r="K20" i="21"/>
  <c r="M20" i="11"/>
  <c r="AH20" i="21"/>
  <c r="BQ20" i="16"/>
  <c r="Y20" i="17"/>
  <c r="L20" i="11"/>
  <c r="R20" i="11"/>
  <c r="AO20" i="16"/>
  <c r="BC20" i="16"/>
  <c r="I20" i="17"/>
  <c r="R20" i="16"/>
  <c r="U20" i="17"/>
  <c r="BJ20" i="16"/>
  <c r="AW20" i="21"/>
  <c r="F20" i="17"/>
  <c r="AQ20" i="16"/>
  <c r="AF20" i="11"/>
  <c r="AF20" i="21"/>
  <c r="W20" i="17"/>
  <c r="N20" i="16"/>
  <c r="AG20" i="21"/>
  <c r="E20" i="21"/>
  <c r="BM20" i="16"/>
  <c r="I20" i="12"/>
  <c r="AS20" i="16"/>
  <c r="AD20" i="17"/>
  <c r="H20" i="16"/>
  <c r="AM20" i="11"/>
  <c r="BE20" i="21"/>
  <c r="U20" i="21"/>
  <c r="O12" i="11"/>
  <c r="BD19" i="8" l="1"/>
  <c r="AQ20" i="17"/>
  <c r="BL20" i="16"/>
  <c r="AP20" i="11"/>
  <c r="AT20" i="21"/>
  <c r="AQ20" i="1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<sst xmlns="http://schemas.openxmlformats.org/spreadsheetml/2006/main" count="2102" uniqueCount="917">
  <si>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</si>
  <si>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</si>
  <si>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</si>
  <si>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</si>
  <si>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</si>
  <si>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</si>
  <si>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</si>
  <si>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</si>
  <si>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</si>
  <si>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</si>
  <si>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</si>
  <si>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</si>
  <si>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</si>
  <si>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</si>
  <si>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</si>
  <si>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</si>
  <si>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</si>
  <si>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</si>
  <si>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</si>
  <si>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</si>
  <si>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</si>
  <si>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</si>
  <si>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</si>
  <si>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</si>
  <si>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</si>
  <si>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</si>
  <si>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</si>
  <si>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</si>
  <si>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</si>
  <si>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</si>
  <si>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</si>
  <si>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</si>
  <si>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</si>
  <si>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</si>
  <si>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</si>
  <si>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</si>
  <si>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</si>
  <si>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</si>
  <si>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</si>
  <si>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</si>
  <si>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</si>
  <si>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</si>
  <si>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</si>
  <si>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</si>
  <si>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</si>
  <si>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</si>
  <si>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</si>
  <si>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</si>
  <si>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</si>
  <si>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</si>
  <si>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</si>
  <si>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</si>
  <si>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</si>
  <si>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</si>
  <si>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</si>
  <si>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</si>
  <si>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</si>
  <si>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</si>
  <si>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</si>
  <si>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</si>
  <si>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</si>
  <si>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</si>
  <si>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</si>
  <si>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</si>
  <si>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</si>
  <si>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</si>
  <si>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</si>
  <si>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</si>
  <si>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</si>
  <si>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</si>
  <si>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</si>
  <si>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</si>
  <si>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</si>
  <si>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</si>
  <si>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</si>
  <si>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</si>
  <si>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</si>
  <si>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</si>
  <si>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</si>
  <si>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</si>
  <si>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</si>
  <si>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</si>
  <si>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</si>
  <si>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</si>
  <si>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</si>
  <si>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</si>
  <si>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</si>
  <si>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</si>
  <si>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</si>
  <si>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</si>
  <si>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</si>
  <si>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</si>
  <si>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</si>
  <si>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</si>
  <si>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</si>
  <si>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</si>
  <si>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</si>
  <si>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</si>
  <si>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</si>
  <si>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</si>
  <si>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</si>
  <si>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</si>
  <si>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</si>
  <si>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</si>
  <si>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</si>
  <si>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</si>
  <si>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</si>
  <si>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</si>
  <si>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</si>
  <si>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</si>
  <si>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</si>
  <si>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</si>
  <si>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</si>
  <si>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</si>
  <si>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</si>
  <si>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</si>
  <si>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</si>
  <si>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</si>
  <si>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</si>
  <si>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</si>
  <si>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</si>
  <si>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</si>
  <si>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</si>
  <si>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</si>
  <si>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</si>
  <si>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</si>
  <si>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</si>
  <si>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</si>
  <si>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</si>
  <si>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</si>
  <si>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</si>
  <si>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</si>
  <si>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</si>
  <si>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</si>
  <si>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</si>
  <si>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</si>
  <si>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</si>
  <si>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</si>
  <si>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</si>
  <si>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</si>
  <si>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</si>
  <si>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</si>
  <si>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</si>
  <si>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</si>
  <si>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</si>
  <si>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</si>
  <si>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</si>
  <si>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</si>
  <si>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</si>
  <si>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</si>
  <si>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</si>
  <si>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</si>
  <si>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</si>
  <si>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</si>
  <si>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</si>
  <si>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</si>
  <si>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</si>
  <si>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</si>
  <si>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</si>
  <si>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</si>
  <si>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</si>
  <si>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</si>
  <si>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</si>
  <si>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</si>
  <si>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</si>
  <si>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</si>
  <si>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</si>
  <si>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</si>
  <si>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</si>
  <si>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</si>
  <si>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</si>
  <si>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</si>
  <si>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</si>
  <si>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</si>
  <si>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</si>
  <si>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</si>
  <si>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</si>
  <si>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</si>
  <si>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</si>
  <si>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</si>
  <si>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</si>
  <si>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</si>
  <si>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</si>
  <si>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</si>
  <si>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</si>
  <si>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</si>
  <si>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</si>
  <si>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</si>
  <si>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</si>
  <si>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</si>
  <si>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</si>
  <si>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</si>
  <si>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</si>
  <si>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</si>
  <si>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</si>
  <si>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</si>
  <si>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</si>
  <si>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</si>
  <si>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</si>
  <si>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</si>
  <si>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</si>
  <si>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</si>
  <si>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</si>
  <si>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</si>
  <si>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</si>
  <si>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</si>
  <si>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</si>
  <si>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</si>
  <si>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</si>
  <si>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</si>
  <si>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</si>
  <si>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</si>
  <si>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</si>
  <si>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</si>
  <si>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</si>
  <si>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</si>
  <si>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</si>
  <si>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</si>
  <si>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</si>
  <si>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</si>
  <si>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</si>
  <si>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</si>
  <si>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</si>
  <si>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</si>
  <si>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</si>
  <si>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</si>
  <si>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</si>
  <si>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</si>
  <si>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</si>
  <si>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</si>
  <si>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</si>
  <si>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</si>
  <si>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</si>
  <si>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</si>
  <si>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</si>
  <si>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</si>
  <si>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</si>
  <si>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</si>
  <si>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</si>
  <si>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</si>
  <si>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</si>
  <si>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</si>
  <si>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</si>
  <si>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</si>
  <si>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</si>
  <si>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</si>
  <si>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</si>
  <si>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</si>
  <si>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</si>
  <si>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</si>
  <si>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</si>
  <si>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</si>
  <si>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</si>
  <si>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</si>
  <si>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</si>
  <si>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</si>
  <si>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</si>
  <si>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</si>
  <si>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</si>
  <si>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</si>
  <si>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</si>
  <si>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</si>
  <si>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</si>
  <si>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</si>
  <si>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</si>
  <si>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</si>
  <si>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</si>
  <si>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</si>
  <si>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</si>
  <si>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</si>
  <si>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</si>
  <si>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</si>
  <si>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</si>
  <si>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</si>
  <si>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</si>
  <si>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</si>
  <si>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</si>
  <si>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</si>
  <si>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</si>
  <si>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</si>
  <si>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</si>
  <si>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</si>
  <si>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</si>
  <si>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</si>
  <si>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</si>
  <si>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</si>
  <si>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</si>
  <si>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</si>
  <si>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</si>
  <si>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</si>
  <si>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</si>
  <si>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</si>
  <si>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</si>
  <si>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</si>
  <si>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</si>
  <si>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</si>
  <si>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</si>
  <si>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</si>
  <si>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</si>
  <si>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</si>
  <si>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</si>
  <si>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</si>
  <si>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</si>
  <si>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</si>
  <si>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</si>
  <si>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</si>
  <si>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</si>
  <si>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</si>
  <si>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</si>
  <si>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</si>
  <si>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</si>
  <si>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</si>
  <si>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</si>
  <si>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</si>
  <si>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</si>
  <si>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</si>
  <si>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</si>
  <si>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</si>
  <si>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</si>
  <si>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</si>
  <si>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</si>
  <si>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</si>
  <si>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</si>
  <si>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</si>
  <si>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</si>
  <si>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</si>
  <si>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</si>
  <si>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</si>
  <si>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</si>
  <si>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</si>
  <si>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</si>
  <si>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</si>
  <si>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</si>
  <si>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</si>
  <si>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</si>
  <si>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</si>
  <si>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</si>
  <si>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</si>
  <si>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</si>
  <si>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</si>
  <si>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</si>
  <si>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</si>
  <si>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</si>
  <si>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</si>
  <si>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</si>
  <si>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</si>
  <si>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</si>
  <si>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</si>
  <si>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</si>
  <si>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</si>
  <si>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</si>
  <si>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</si>
  <si>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</si>
  <si>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</si>
  <si>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</si>
  <si>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</si>
  <si>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</si>
  <si>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</si>
  <si>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</si>
  <si>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</si>
  <si>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</si>
  <si>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</si>
  <si>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</si>
  <si>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</si>
  <si>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</si>
  <si>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</si>
  <si>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</si>
  <si>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</si>
  <si>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</si>
  <si>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</si>
  <si>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</si>
  <si>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</si>
  <si>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</si>
  <si>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</si>
  <si>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</si>
  <si>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</si>
  <si>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</si>
  <si>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</si>
  <si>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</si>
  <si>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</si>
  <si>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</si>
  <si>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</si>
  <si>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</si>
  <si>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</si>
  <si>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</si>
  <si>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</si>
  <si>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</si>
  <si>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</si>
  <si>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</si>
  <si>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</si>
  <si>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</si>
  <si>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</si>
  <si>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</si>
  <si>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</si>
  <si>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</si>
  <si>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</si>
  <si>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</si>
  <si>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</si>
  <si>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</si>
  <si>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</si>
  <si>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</si>
  <si>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</si>
  <si>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</si>
  <si>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</si>
  <si>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</si>
  <si>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</si>
  <si>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</si>
  <si>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</si>
  <si>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</si>
  <si>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</si>
  <si>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</si>
  <si>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</si>
  <si>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</si>
  <si>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</si>
  <si>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</si>
  <si>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</si>
  <si>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</si>
  <si>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</si>
  <si>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</si>
  <si>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</si>
  <si>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</si>
  <si>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</si>
  <si>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</si>
  <si>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</si>
  <si>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</si>
  <si>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</si>
  <si>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</si>
  <si>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</si>
  <si>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</si>
  <si>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</si>
  <si>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</si>
  <si>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</si>
  <si>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</si>
  <si>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</si>
  <si>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</si>
  <si>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</si>
  <si>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</si>
  <si>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</si>
  <si>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</si>
  <si>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</si>
  <si>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</si>
  <si>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</si>
  <si>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</si>
  <si>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</si>
  <si>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</si>
  <si>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</si>
  <si>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</si>
  <si>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</si>
  <si>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</si>
  <si>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</si>
  <si>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</si>
  <si>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</si>
  <si>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</si>
  <si>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</si>
  <si>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</si>
  <si>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</si>
  <si>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</si>
  <si>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</si>
  <si>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</si>
  <si>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</si>
  <si>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</si>
  <si>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</si>
  <si>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</si>
  <si>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</si>
  <si>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</si>
  <si>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</si>
  <si>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</si>
  <si>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</si>
  <si>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</si>
  <si>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</si>
  <si>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</si>
  <si>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</si>
  <si>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</si>
  <si>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</si>
  <si>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</si>
  <si>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</si>
  <si>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</si>
  <si>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</si>
  <si>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</si>
  <si>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</si>
  <si>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</si>
  <si>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</si>
  <si>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</si>
  <si>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</si>
  <si>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</si>
  <si>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</si>
  <si>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</si>
  <si>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</si>
  <si>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</si>
  <si>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</si>
  <si>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</si>
  <si>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</si>
  <si>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</si>
  <si>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</si>
  <si>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</si>
  <si>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</si>
  <si>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</si>
  <si>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</si>
  <si>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</si>
  <si>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</si>
  <si>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</si>
  <si>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</si>
  <si>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</si>
  <si>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</si>
  <si>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</si>
  <si>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</si>
  <si>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</si>
  <si>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</si>
  <si>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</si>
  <si>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</si>
  <si>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</si>
  <si>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</si>
  <si>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</si>
  <si>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</si>
  <si>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</si>
  <si>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</si>
  <si>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</si>
  <si>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</si>
  <si>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</si>
  <si>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</si>
  <si>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</si>
  <si>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</si>
  <si>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</si>
  <si>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</si>
  <si>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</si>
  <si>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</si>
  <si>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</si>
  <si>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</si>
  <si>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</si>
  <si>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</si>
  <si>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</si>
  <si>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</si>
  <si>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</si>
  <si>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</si>
  <si>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</si>
  <si>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</si>
  <si>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</si>
  <si>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</si>
  <si>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</si>
  <si>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</si>
  <si>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</si>
  <si>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</si>
  <si>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</si>
  <si>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</si>
  <si>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</si>
  <si>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</si>
  <si>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</si>
  <si>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</si>
  <si>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</si>
  <si>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</si>
  <si>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</si>
  <si>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</si>
  <si>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</si>
  <si>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</si>
  <si>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</si>
  <si>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</si>
  <si>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</si>
  <si>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</si>
  <si>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</si>
  <si>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</si>
  <si>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</si>
  <si>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</si>
  <si>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</si>
  <si>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</si>
  <si>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</si>
  <si>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</si>
  <si>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</si>
  <si>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</si>
  <si>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</si>
  <si>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</si>
  <si>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</si>
  <si>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</si>
  <si>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</si>
  <si>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</si>
  <si>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</si>
  <si>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</si>
  <si>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</si>
  <si>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</si>
  <si>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</si>
  <si>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</si>
  <si>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</si>
  <si>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</si>
  <si>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</si>
  <si>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</si>
  <si>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</si>
  <si>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</si>
  <si>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</si>
  <si>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</si>
  <si>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</si>
  <si>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</si>
  <si>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</si>
  <si>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</si>
  <si>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</si>
  <si>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</si>
  <si>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</si>
  <si>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</si>
  <si>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</si>
  <si>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</si>
  <si>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</si>
  <si>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</si>
  <si>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</si>
  <si>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</si>
  <si>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</si>
  <si>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</si>
  <si>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</si>
  <si>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</si>
  <si>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</si>
  <si>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</si>
  <si>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</si>
  <si>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</si>
  <si>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</si>
  <si>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</si>
  <si>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</si>
  <si>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</si>
  <si>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</si>
  <si>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</si>
  <si>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</si>
  <si>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</si>
  <si>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</si>
  <si>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</si>
  <si>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</si>
  <si>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</si>
  <si>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</si>
  <si>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</si>
  <si>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</si>
  <si>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</si>
  <si>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</si>
  <si>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</si>
  <si>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</si>
  <si>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</si>
  <si>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</si>
  <si>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</si>
  <si>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</si>
  <si>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</si>
  <si>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</si>
  <si>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</si>
  <si>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</si>
  <si>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</si>
  <si>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</si>
  <si>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</si>
  <si>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</si>
  <si>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</si>
  <si>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</si>
  <si>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</si>
  <si>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</si>
  <si>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</si>
  <si>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</si>
  <si>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</si>
  <si>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</si>
  <si>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</si>
  <si>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</si>
  <si>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</si>
  <si>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</si>
  <si>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</si>
  <si>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</si>
  <si>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</si>
  <si>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</si>
  <si>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</si>
  <si>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</si>
  <si>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</si>
  <si>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</si>
  <si>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</si>
  <si>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</si>
  <si>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</si>
  <si>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</si>
  <si>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</si>
  <si>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</si>
  <si>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</si>
  <si>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</si>
  <si>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</si>
  <si>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</si>
  <si>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</si>
  <si>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</si>
  <si>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</si>
  <si>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</si>
  <si>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</si>
  <si>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</si>
  <si>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</si>
  <si>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</si>
  <si>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</si>
  <si>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</si>
  <si>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</si>
  <si>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</si>
  <si>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</si>
  <si>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</si>
  <si>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</si>
  <si>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</si>
  <si>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</si>
  <si>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</si>
  <si>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</si>
  <si>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</si>
  <si>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</si>
  <si>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</si>
  <si>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</si>
  <si>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</si>
  <si>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</si>
  <si>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</si>
  <si>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</si>
  <si>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</si>
  <si>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</si>
  <si>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</si>
  <si>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</si>
  <si>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</si>
  <si>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</si>
  <si>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</si>
  <si>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</si>
  <si>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</si>
  <si>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</si>
  <si>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</si>
  <si>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</si>
  <si>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</si>
  <si>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</si>
  <si>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</si>
  <si>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</si>
  <si>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</si>
  <si>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</si>
  <si>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</si>
  <si>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</si>
  <si>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</si>
  <si>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</si>
  <si>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</si>
  <si>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</si>
  <si>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</si>
  <si>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</si>
  <si>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</si>
  <si>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</si>
  <si>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</si>
  <si>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</si>
  <si>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</si>
  <si>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</si>
  <si>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</si>
  <si>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</si>
  <si>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</si>
  <si>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</si>
  <si>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</si>
  <si>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</si>
  <si>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</si>
  <si>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</si>
  <si>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</si>
  <si>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</si>
  <si>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</si>
  <si>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</si>
  <si>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</si>
  <si>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</si>
  <si>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</si>
  <si>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</si>
  <si>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</si>
  <si>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</si>
  <si>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</si>
  <si>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</si>
  <si>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</si>
  <si>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</si>
  <si>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</si>
  <si>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</si>
  <si>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</si>
  <si>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</si>
  <si>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</si>
  <si>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</si>
  <si>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</si>
  <si>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</si>
  <si>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</si>
  <si>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</si>
  <si>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</si>
  <si>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</si>
  <si>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</si>
  <si>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</si>
  <si>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</si>
  <si>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</si>
  <si>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</si>
  <si>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</si>
  <si>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</si>
  <si>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</si>
  <si>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</si>
  <si>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</si>
  <si>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</si>
  <si>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</si>
  <si>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</si>
  <si>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</si>
  <si>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</si>
  <si>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</si>
  <si>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</si>
  <si>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</si>
  <si>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</si>
  <si>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</si>
  <si>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</si>
  <si>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</si>
  <si>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</si>
  <si>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</si>
  <si>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</si>
  <si>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</si>
  <si>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</si>
  <si>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</si>
  <si>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</si>
  <si>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</si>
  <si>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</si>
  <si>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</si>
  <si>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</si>
  <si>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</si>
  <si>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</si>
  <si>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</si>
  <si>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</si>
  <si>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</si>
  <si>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</si>
  <si>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</si>
  <si>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</si>
  <si>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</si>
  <si>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</si>
  <si>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</si>
  <si>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</si>
  <si>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</si>
  <si>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</si>
  <si>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</si>
  <si>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</si>
  <si>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</si>
  <si>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</si>
  <si>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</si>
  <si>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</si>
  <si>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</si>
  <si>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</si>
  <si>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</si>
  <si>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</si>
  <si>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</si>
  <si>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</si>
  <si>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</si>
  <si>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</si>
  <si>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</si>
  <si>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</si>
  <si>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</si>
  <si>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</si>
  <si>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</si>
  <si>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</si>
  <si>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</si>
  <si>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</si>
  <si>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</si>
  <si>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</si>
  <si>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</si>
  <si>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</si>
  <si>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</si>
  <si>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</si>
  <si>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</si>
  <si>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</si>
  <si>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</si>
  <si>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</si>
  <si>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</si>
  <si>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</si>
  <si>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</si>
  <si>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</si>
  <si>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</si>
  <si>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</si>
  <si>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</si>
  <si>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</si>
  <si>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</si>
  <si>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</si>
  <si>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</si>
  <si>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</si>
  <si>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</si>
  <si>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</si>
  <si>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</si>
  <si>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</si>
  <si>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</si>
  <si>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</si>
  <si>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</si>
  <si>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</si>
  <si>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</si>
  <si>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</si>
  <si>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</si>
  <si>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</si>
  <si>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</si>
  <si>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</si>
  <si>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</si>
  <si>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</si>
  <si>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</si>
  <si>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</si>
  <si>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</si>
  <si>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</si>
  <si>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</si>
  <si>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</si>
  <si>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</si>
  <si>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</si>
  <si>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</si>
  <si>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</si>
  <si>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</si>
  <si>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</si>
  <si>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</si>
  <si>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</si>
  <si>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</si>
  <si>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</si>
  <si>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</si>
  <si>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</si>
  <si>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</si>
  <si>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</si>
  <si>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</si>
  <si>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</si>
  <si>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</si>
  <si>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</si>
  <si>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</si>
  <si>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</si>
  <si>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</si>
  <si>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</si>
  <si>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</si>
  <si>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</si>
  <si>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</si>
  <si>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</si>
  <si>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</si>
  <si>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</si>
  <si>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</si>
  <si>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</si>
  <si>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</si>
  <si>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</si>
  <si>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</si>
  <si>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</si>
  <si>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</si>
  <si>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</si>
  <si>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</si>
  <si>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GIRONA</t>
  </si>
  <si>
    <t>Resumenes por Partidos Judiciales</t>
  </si>
  <si>
    <t>SANT FELIU DE GUIXOLS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</si>
</sst>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iY0vIndgM9uoE61jstkGNZaM7RhY1OqmuGaNpKi5xD5DcLZLY4JspoKLPkdEBR2V7eti1O6UW9BHimHRPyBOA==" saltValue="SUOQE1Ogbl1ctZwQc1NW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28</v>
      </c>
      <c r="E10" s="226">
        <f>IF(ISNUMBER(Datos!J10),Datos!J10," - ")</f>
        <v>1</v>
      </c>
      <c r="F10" s="226">
        <f>IF(ISNUMBER(Datos!K10),Datos!K10," - ")</f>
        <v>6</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-0.17857142857142858</v>
      </c>
      <c r="L10" s="1025">
        <f>IF(ISNUMBER(NºAsuntos!I10/NºAsuntos!G10),(NºAsuntos!I10/NºAsuntos!G10)*11," - ")</f>
        <v>42.166666666666671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26.855311355311358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28</v>
      </c>
      <c r="E13" s="1050">
        <f>SUBTOTAL(9,E9:E12)</f>
        <v>1</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1306</v>
      </c>
      <c r="D16" s="225">
        <f>IF(ISNUMBER(IF(D_I="SI",Datos!I16,Datos!I16+Datos!AC16)),IF(D_I="SI",Datos!I16,Datos!I16+Datos!AC16)," - ")</f>
        <v>1289</v>
      </c>
      <c r="E16" s="226">
        <f>IF(ISNUMBER(IF(D_I="SI",Datos!J16,Datos!J16+Datos!AD16)),IF(D_I="SI",Datos!J16,Datos!J16+Datos!AD16)," - ")</f>
        <v>669</v>
      </c>
      <c r="F16" s="226">
        <f>IF(ISNUMBER(IF(D_I="SI",Datos!K16,Datos!K16+Datos!AE16)),IF(D_I="SI",Datos!K16,Datos!K16+Datos!AE16)," - ")</f>
        <v>648</v>
      </c>
      <c r="G16" s="1034" t="str">
        <f>IF(Datos!E16&lt;&gt;"",Datos!E16,Datos!D16)</f>
        <v>04</v>
      </c>
      <c r="H16" s="227">
        <f>IF(ISNUMBER(IF(D_I="SI",Datos!L16,Datos!L16+Datos!AF16)),IF(D_I="SI",Datos!L16,Datos!L16+Datos!AF16)," - ")</f>
        <v>1327</v>
      </c>
      <c r="I16" s="1044" t="str">
        <f>IF(ISNUMBER(Datos!AS16/Datos!BM16),Datos!AS16/Datos!BM16," - ")</f>
        <v xml:space="preserve"> - </v>
      </c>
      <c r="J16" s="1045">
        <f>IF(ISNUMBER(Datos!BY16/Datos!CN16),Datos!BY16/Datos!CN16," - ")</f>
        <v>0</v>
      </c>
      <c r="K16" s="230">
        <f t="shared" si="3"/>
        <v>1.6079632465543645E-2</v>
      </c>
      <c r="L16" s="1025">
        <f>IF(ISNUMBER(NºAsuntos!I16/NºAsuntos!G16),(NºAsuntos!I16/NºAsuntos!G16)*11," - ")</f>
        <v>22.526234567901234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73</v>
      </c>
      <c r="D17" s="225">
        <f>IF(ISNUMBER(IF(D_I="SI",Datos!I17,Datos!I17+Datos!AC17)),IF(D_I="SI",Datos!I17,Datos!I17+Datos!AC17)," - ")</f>
        <v>73</v>
      </c>
      <c r="E17" s="226">
        <f>IF(ISNUMBER(IF(D_I="SI",Datos!J17,Datos!J17+Datos!AD17)),IF(D_I="SI",Datos!J17,Datos!J17+Datos!AD17)," - ")</f>
        <v>67</v>
      </c>
      <c r="F17" s="226">
        <f>IF(ISNUMBER(IF(D_I="SI",Datos!K17,Datos!K17+Datos!AE17)),IF(D_I="SI",Datos!K17,Datos!K17+Datos!AE17)," - ")</f>
        <v>68</v>
      </c>
      <c r="G17" s="1034" t="str">
        <f>IF(Datos!E17&lt;&gt;"",Datos!E17,Datos!D17)</f>
        <v>37</v>
      </c>
      <c r="H17" s="227">
        <f>IF(ISNUMBER(IF(D_I="SI",Datos!L17,Datos!L17+Datos!AF17)),IF(D_I="SI",Datos!L17,Datos!L17+Datos!AF17)," - ")</f>
        <v>72</v>
      </c>
      <c r="I17" s="1044" t="str">
        <f>IF(ISNUMBER(Datos!AS17/Datos!BM17),Datos!AS17/Datos!BM17," - ")</f>
        <v xml:space="preserve"> - </v>
      </c>
      <c r="J17" s="1045" t="str">
        <f>IF(ISNUMBER((Datos!BY17+Datos!BZ17)/Datos!CN17),(Datos!BY17+Datos!BZ17)/Datos!CN17," - ")</f>
        <v xml:space="preserve"> - </v>
      </c>
      <c r="K17" s="230">
        <f t="shared" si="3"/>
        <v>-1.3698630136986301E-2</v>
      </c>
      <c r="L17" s="1025">
        <f>IF(ISNUMBER(NºAsuntos!I17/NºAsuntos!G17),(NºAsuntos!I17/NºAsuntos!G17)*11," - ")</f>
        <v>11.647058823529411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1379</v>
      </c>
      <c r="D18" s="1049">
        <f>SUBTOTAL(9,D15:D17)</f>
        <v>1362</v>
      </c>
      <c r="E18" s="1050">
        <f>SUBTOTAL(9,E15:E17)</f>
        <v>736</v>
      </c>
      <c r="F18" s="1050">
        <f>SUBTOTAL(9,F15:F17)</f>
        <v>716</v>
      </c>
      <c r="G18" s="1052" t="str">
        <f ca="1">INDIRECT(CONCATENATE("G",ROW()-1))</f>
        <v>37</v>
      </c>
      <c r="H18" s="1053">
        <f ca="1">SUMIF(G$14:G17,G18,H$14:H17)</f>
        <v>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1407</v>
      </c>
      <c r="D19" s="1071">
        <f>SUBTOTAL(9,D9:D18)</f>
        <v>1390</v>
      </c>
      <c r="E19" s="1072">
        <f>SUBTOTAL(9,E9:E18)</f>
        <v>737</v>
      </c>
      <c r="F19" s="1072">
        <f>SUBTOTAL(9,F9:F18)</f>
        <v>722</v>
      </c>
      <c r="G19" s="1073"/>
      <c r="H19" s="1074">
        <f ca="1">SUMIF(B9:B18,"TOTAL",H9:H18)</f>
        <v>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qfNGZG0pfcuyfJTwfiNX1U1oG6twdGynYtvfTSvXzFUGlZUka6CDcA3UJUtsA2sf3Y7D6oCPa2TJsco8tte3PQ==" saltValue="7wp6z5csEtP+hxHbt62zM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1NHbQtsXKM+XD16rDZ7gQm77UNc+CCgk0pbOF34glFoem0jXBLo6OuDPW1U0Llob9DpSkrY+6auVsOMmcn+5Q==" saltValue="9XfbhJ8Yk/5dn9y7N96/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28</v>
      </c>
      <c r="J10" s="181">
        <v>1</v>
      </c>
      <c r="K10" s="181">
        <v>6</v>
      </c>
      <c r="L10" s="181">
        <v>23</v>
      </c>
      <c r="M10" s="181">
        <v>1</v>
      </c>
      <c r="N10" s="181">
        <v>2</v>
      </c>
      <c r="O10" s="181">
        <v>2</v>
      </c>
      <c r="P10" s="181">
        <v>3</v>
      </c>
      <c r="Q10" s="181">
        <v>1</v>
      </c>
      <c r="R10" s="181">
        <v>24</v>
      </c>
      <c r="S10" s="181">
        <v>35</v>
      </c>
      <c r="T10" s="181">
        <v>7</v>
      </c>
      <c r="U10" s="181">
        <v>5</v>
      </c>
      <c r="V10" s="181">
        <v>37</v>
      </c>
      <c r="W10" s="181">
        <v>1</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35</v>
      </c>
      <c r="AZ10" s="129">
        <f t="shared" si="0"/>
        <v>7</v>
      </c>
      <c r="BA10" s="129">
        <f t="shared" si="0"/>
        <v>5</v>
      </c>
      <c r="BB10" s="129">
        <f t="shared" si="0"/>
        <v>37</v>
      </c>
      <c r="BC10" s="125">
        <f t="shared" si="0"/>
        <v>1</v>
      </c>
      <c r="BD10" s="126">
        <f>IF(ISNUMBER(BA10/AZ10),BA10/AZ10," - ")</f>
        <v>0.7142857142857143</v>
      </c>
      <c r="BE10" s="127">
        <f>IF(ISNUMBER(BB10/BA10),BB10/BA10, " - ")</f>
        <v>7.4</v>
      </c>
      <c r="BF10" s="127">
        <f>IF(ISNUMBER(BC10/BA10),BC10/BA10, " - ")</f>
        <v>0.2</v>
      </c>
      <c r="BG10" s="196">
        <f>IF(ISNUMBER((AY10+AZ10)/BA10),(AY10+AZ10)/BA10," - ")</f>
        <v>8.4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2432</v>
      </c>
      <c r="J12" s="183">
        <v>1283</v>
      </c>
      <c r="K12" s="183">
        <v>1061</v>
      </c>
      <c r="L12" s="183">
        <v>2654</v>
      </c>
      <c r="M12" s="183">
        <v>196</v>
      </c>
      <c r="N12" s="183">
        <v>489</v>
      </c>
      <c r="O12" s="181">
        <v>458</v>
      </c>
      <c r="P12" s="183">
        <v>172</v>
      </c>
      <c r="Q12" s="183">
        <v>229</v>
      </c>
      <c r="R12" s="183">
        <v>2916</v>
      </c>
      <c r="S12" s="183">
        <v>2326</v>
      </c>
      <c r="T12" s="183">
        <v>936</v>
      </c>
      <c r="U12" s="183">
        <v>776</v>
      </c>
      <c r="V12" s="183">
        <v>2485</v>
      </c>
      <c r="W12" s="183">
        <v>181</v>
      </c>
      <c r="X12" s="189">
        <v>350</v>
      </c>
      <c r="Y12" s="191">
        <v>17</v>
      </c>
      <c r="Z12" s="181">
        <v>26</v>
      </c>
      <c r="AA12" s="181">
        <v>31</v>
      </c>
      <c r="AB12" s="181">
        <v>12</v>
      </c>
      <c r="AC12" s="183">
        <v>0</v>
      </c>
      <c r="AD12" s="183">
        <v>0</v>
      </c>
      <c r="AE12" s="183">
        <v>0</v>
      </c>
      <c r="AF12" s="189">
        <v>0</v>
      </c>
      <c r="AG12" s="202">
        <v>27</v>
      </c>
      <c r="AH12" s="183">
        <v>47</v>
      </c>
      <c r="AI12" s="183">
        <v>34</v>
      </c>
      <c r="AJ12" s="203">
        <v>40</v>
      </c>
      <c r="AK12" s="182">
        <v>0</v>
      </c>
      <c r="AL12" s="183">
        <v>0</v>
      </c>
      <c r="AM12" s="183">
        <v>0</v>
      </c>
      <c r="AN12" s="189">
        <v>0</v>
      </c>
      <c r="AO12" s="259">
        <v>3</v>
      </c>
      <c r="AP12" s="155">
        <v>3</v>
      </c>
      <c r="AQ12" s="155">
        <v>3</v>
      </c>
      <c r="AR12" s="154">
        <v>3</v>
      </c>
      <c r="AS12" s="340" t="s">
        <v>801</v>
      </c>
      <c r="AT12" s="203"/>
      <c r="AU12" s="202"/>
      <c r="AV12" s="203"/>
      <c r="AW12" s="202"/>
      <c r="AX12" s="203"/>
      <c r="AY12" s="126">
        <f t="shared" si="1"/>
        <v>2353</v>
      </c>
      <c r="AZ12" s="127">
        <f t="shared" si="1"/>
        <v>983</v>
      </c>
      <c r="BA12" s="127">
        <f t="shared" si="1"/>
        <v>810</v>
      </c>
      <c r="BB12" s="127">
        <f t="shared" si="1"/>
        <v>2525</v>
      </c>
      <c r="BC12" s="125">
        <f>IF(ISNUMBER(X12),X12," - ")</f>
        <v>350</v>
      </c>
      <c r="BD12" s="126">
        <f t="shared" si="2"/>
        <v>0.82400813835198372</v>
      </c>
      <c r="BE12" s="127">
        <f t="shared" si="3"/>
        <v>3.117283950617284</v>
      </c>
      <c r="BF12" s="127">
        <f t="shared" si="4"/>
        <v>0.43209876543209874</v>
      </c>
      <c r="BG12" s="196">
        <f t="shared" si="5"/>
        <v>4.1185185185185187</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2460</v>
      </c>
      <c r="J13" s="184">
        <f t="shared" si="6"/>
        <v>1284</v>
      </c>
      <c r="K13" s="184">
        <f t="shared" si="6"/>
        <v>1067</v>
      </c>
      <c r="L13" s="184">
        <f t="shared" si="6"/>
        <v>2677</v>
      </c>
      <c r="M13" s="184">
        <f t="shared" si="6"/>
        <v>197</v>
      </c>
      <c r="N13" s="184">
        <f t="shared" si="6"/>
        <v>491</v>
      </c>
      <c r="O13" s="184">
        <f t="shared" si="6"/>
        <v>460</v>
      </c>
      <c r="P13" s="184">
        <f t="shared" si="6"/>
        <v>175</v>
      </c>
      <c r="Q13" s="184">
        <f t="shared" si="6"/>
        <v>230</v>
      </c>
      <c r="R13" s="184">
        <f t="shared" si="6"/>
        <v>2940</v>
      </c>
      <c r="S13" s="184">
        <f t="shared" si="6"/>
        <v>2361</v>
      </c>
      <c r="T13" s="184">
        <f t="shared" si="6"/>
        <v>943</v>
      </c>
      <c r="U13" s="184">
        <f t="shared" si="6"/>
        <v>781</v>
      </c>
      <c r="V13" s="184">
        <f t="shared" si="6"/>
        <v>2522</v>
      </c>
      <c r="W13" s="184">
        <f t="shared" si="6"/>
        <v>182</v>
      </c>
      <c r="X13" s="184">
        <f t="shared" si="6"/>
        <v>354</v>
      </c>
      <c r="Y13" s="184">
        <f t="shared" si="6"/>
        <v>17</v>
      </c>
      <c r="Z13" s="184">
        <f t="shared" si="6"/>
        <v>26</v>
      </c>
      <c r="AA13" s="184">
        <f t="shared" si="6"/>
        <v>31</v>
      </c>
      <c r="AB13" s="184">
        <f t="shared" si="6"/>
        <v>12</v>
      </c>
      <c r="AC13" s="184">
        <f t="shared" si="6"/>
        <v>0</v>
      </c>
      <c r="AD13" s="184">
        <f t="shared" si="6"/>
        <v>0</v>
      </c>
      <c r="AE13" s="184">
        <f t="shared" si="6"/>
        <v>0</v>
      </c>
      <c r="AF13" s="184">
        <f>SUBTOTAL(9,AF9:AF12)</f>
        <v>0</v>
      </c>
      <c r="AG13" s="184">
        <f t="shared" ref="AG13:AT13" si="7">SUBTOTAL(9,AG8:AG12)</f>
        <v>27</v>
      </c>
      <c r="AH13" s="184">
        <f t="shared" si="7"/>
        <v>47</v>
      </c>
      <c r="AI13" s="184">
        <f t="shared" si="7"/>
        <v>34</v>
      </c>
      <c r="AJ13" s="184">
        <f t="shared" si="7"/>
        <v>40</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2388</v>
      </c>
      <c r="AZ13" s="184">
        <f>SUBTOTAL(9,AZ8:AZ12)</f>
        <v>990</v>
      </c>
      <c r="BA13" s="184">
        <f>SUBTOTAL(9,BA8:BA12)</f>
        <v>815</v>
      </c>
      <c r="BB13" s="184">
        <f>SUBTOTAL(9,BB8:BB12)</f>
        <v>2562</v>
      </c>
      <c r="BC13" s="184">
        <f>SUBTOTAL(9,BC8:BC12)</f>
        <v>351</v>
      </c>
      <c r="BD13" s="205">
        <f>IF(ISNUMBER(BA13/AZ13),BA13/AZ13," - ")</f>
        <v>0.8232323232323232</v>
      </c>
      <c r="BE13" s="206">
        <f>IF(ISNUMBER(BB13/BA13),BB13/BA13, " - ")</f>
        <v>3.143558282208589</v>
      </c>
      <c r="BF13" s="206">
        <f>IF(ISNUMBER(BC13/BA13),BC13/BA13, " - ")</f>
        <v>0.43067484662576688</v>
      </c>
      <c r="BG13" s="207">
        <f>IF(ISNUMBER((AY13+AZ13)/BA13),(AY13+AZ13)/BA13," - ")</f>
        <v>4.1447852760736197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1289</v>
      </c>
      <c r="J16" s="183">
        <v>669</v>
      </c>
      <c r="K16" s="183">
        <v>648</v>
      </c>
      <c r="L16" s="183">
        <v>1327</v>
      </c>
      <c r="M16" s="183">
        <v>96</v>
      </c>
      <c r="N16" s="183">
        <v>423</v>
      </c>
      <c r="O16" s="181">
        <v>13</v>
      </c>
      <c r="P16" s="183">
        <v>39</v>
      </c>
      <c r="Q16" s="183">
        <v>44</v>
      </c>
      <c r="R16" s="183">
        <v>137</v>
      </c>
      <c r="S16" s="183">
        <v>1100</v>
      </c>
      <c r="T16" s="183">
        <v>716</v>
      </c>
      <c r="U16" s="183">
        <v>688</v>
      </c>
      <c r="V16" s="183">
        <v>1138</v>
      </c>
      <c r="W16" s="183">
        <v>119</v>
      </c>
      <c r="X16" s="189">
        <v>400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1100</v>
      </c>
      <c r="AZ16" s="127">
        <f t="shared" si="9"/>
        <v>716</v>
      </c>
      <c r="BA16" s="127">
        <f t="shared" si="9"/>
        <v>688</v>
      </c>
      <c r="BB16" s="127">
        <f t="shared" si="9"/>
        <v>1138</v>
      </c>
      <c r="BC16" s="125">
        <f>IF(ISNUMBER(W16),W16," - ")</f>
        <v>119</v>
      </c>
      <c r="BD16" s="126">
        <f t="shared" ref="BD16" si="11">IF(ISNUMBER(BA16/AZ16),BA16/AZ16," - ")</f>
        <v>0.96089385474860334</v>
      </c>
      <c r="BE16" s="127">
        <f t="shared" ref="BE16" si="12">IF(ISNUMBER(BB16/BA16),BB16/BA16, " - ")</f>
        <v>1.6540697674418605</v>
      </c>
      <c r="BF16" s="127">
        <f t="shared" ref="BF16" si="13">IF(ISNUMBER(BC16/BA16),BC16/BA16, " - ")</f>
        <v>0.17296511627906977</v>
      </c>
      <c r="BG16" s="196">
        <f t="shared" si="10"/>
        <v>2.63953488372093</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73</v>
      </c>
      <c r="J17" s="183">
        <v>67</v>
      </c>
      <c r="K17" s="183">
        <v>68</v>
      </c>
      <c r="L17" s="183">
        <v>72</v>
      </c>
      <c r="M17" s="183">
        <v>3</v>
      </c>
      <c r="N17" s="183">
        <v>37</v>
      </c>
      <c r="O17" s="183">
        <v>0</v>
      </c>
      <c r="P17" s="183">
        <v>0</v>
      </c>
      <c r="Q17" s="183">
        <v>0</v>
      </c>
      <c r="R17" s="183">
        <v>3</v>
      </c>
      <c r="S17" s="183">
        <v>70</v>
      </c>
      <c r="T17" s="183">
        <v>78</v>
      </c>
      <c r="U17" s="183">
        <v>73</v>
      </c>
      <c r="V17" s="183">
        <v>75</v>
      </c>
      <c r="W17" s="183">
        <v>4</v>
      </c>
      <c r="X17" s="189">
        <v>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70</v>
      </c>
      <c r="AZ17" s="129">
        <f t="shared" si="14"/>
        <v>78</v>
      </c>
      <c r="BA17" s="129">
        <f t="shared" si="14"/>
        <v>73</v>
      </c>
      <c r="BB17" s="129">
        <f t="shared" si="14"/>
        <v>75</v>
      </c>
      <c r="BC17" s="125">
        <f>IF(ISNUMBER(W17),W17," - ")</f>
        <v>4</v>
      </c>
      <c r="BD17" s="126">
        <f>IF(ISNUMBER(BA17/AZ17),BA17/AZ17," - ")</f>
        <v>0.9358974358974359</v>
      </c>
      <c r="BE17" s="127">
        <f>IF(ISNUMBER(BB17/BA17),BB17/BA17, " - ")</f>
        <v>1.0273972602739727</v>
      </c>
      <c r="BF17" s="127">
        <f>IF(ISNUMBER(BC17/BA17),BC17/BA17, " - ")</f>
        <v>5.4794520547945202E-2</v>
      </c>
      <c r="BG17" s="196">
        <f>IF(ISNUMBER((AY17+AZ17)/BA17),(AY17+AZ17)/BA17," - ")</f>
        <v>2.0273972602739727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1362</v>
      </c>
      <c r="J18" s="184">
        <f t="shared" si="15"/>
        <v>736</v>
      </c>
      <c r="K18" s="184">
        <f t="shared" si="15"/>
        <v>716</v>
      </c>
      <c r="L18" s="184">
        <f t="shared" si="15"/>
        <v>1399</v>
      </c>
      <c r="M18" s="184">
        <f t="shared" si="15"/>
        <v>99</v>
      </c>
      <c r="N18" s="184">
        <f t="shared" si="15"/>
        <v>460</v>
      </c>
      <c r="O18" s="184">
        <f t="shared" si="15"/>
        <v>13</v>
      </c>
      <c r="P18" s="184">
        <f t="shared" si="15"/>
        <v>39</v>
      </c>
      <c r="Q18" s="184">
        <f t="shared" si="15"/>
        <v>44</v>
      </c>
      <c r="R18" s="184">
        <f t="shared" si="15"/>
        <v>140</v>
      </c>
      <c r="S18" s="184">
        <f t="shared" si="15"/>
        <v>1170</v>
      </c>
      <c r="T18" s="184">
        <f t="shared" si="15"/>
        <v>794</v>
      </c>
      <c r="U18" s="184">
        <f t="shared" si="15"/>
        <v>761</v>
      </c>
      <c r="V18" s="184">
        <f t="shared" si="15"/>
        <v>1213</v>
      </c>
      <c r="W18" s="184">
        <f t="shared" si="15"/>
        <v>123</v>
      </c>
      <c r="X18" s="184">
        <f t="shared" si="15"/>
        <v>451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1170</v>
      </c>
      <c r="AZ18" s="184">
        <f>SUBTOTAL(9,AZ14:AZ17)</f>
        <v>794</v>
      </c>
      <c r="BA18" s="184">
        <f>SUBTOTAL(9,BA14:BA17)</f>
        <v>761</v>
      </c>
      <c r="BB18" s="184">
        <f>SUBTOTAL(9,BB14:BB17)</f>
        <v>1213</v>
      </c>
      <c r="BC18" s="184">
        <f>SUBTOTAL(9,BC14:BC17)</f>
        <v>123</v>
      </c>
      <c r="BD18" s="205">
        <f>IF(ISNUMBER(BA18/AZ18),BA18/AZ18," - ")</f>
        <v>0.95843828715365242</v>
      </c>
      <c r="BE18" s="206">
        <f>IF(ISNUMBER(BB18/BA18),BB18/BA18, " - ")</f>
        <v>1.5939553219448095</v>
      </c>
      <c r="BF18" s="206">
        <f>IF(ISNUMBER(BC18/BA18),BC18/BA18, " - ")</f>
        <v>0.16162943495400789</v>
      </c>
      <c r="BG18" s="207">
        <f>IF(ISNUMBER((AY18+AZ18)/BA18),(AY18+AZ18)/BA18," - ")</f>
        <v>2.5808147174770038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3822</v>
      </c>
      <c r="J19" s="134">
        <f t="shared" si="18"/>
        <v>2020</v>
      </c>
      <c r="K19" s="134">
        <f t="shared" si="18"/>
        <v>1783</v>
      </c>
      <c r="L19" s="134">
        <f t="shared" si="18"/>
        <v>4076</v>
      </c>
      <c r="M19" s="134">
        <f t="shared" si="18"/>
        <v>296</v>
      </c>
      <c r="N19" s="134">
        <f t="shared" si="18"/>
        <v>951</v>
      </c>
      <c r="O19" s="134">
        <f t="shared" si="18"/>
        <v>473</v>
      </c>
      <c r="P19" s="134">
        <f t="shared" si="18"/>
        <v>214</v>
      </c>
      <c r="Q19" s="134">
        <f t="shared" si="18"/>
        <v>274</v>
      </c>
      <c r="R19" s="134">
        <f t="shared" si="18"/>
        <v>3080</v>
      </c>
      <c r="S19" s="134">
        <f t="shared" si="18"/>
        <v>3531</v>
      </c>
      <c r="T19" s="134">
        <f t="shared" si="18"/>
        <v>1737</v>
      </c>
      <c r="U19" s="134">
        <f t="shared" si="18"/>
        <v>1542</v>
      </c>
      <c r="V19" s="134">
        <f t="shared" si="18"/>
        <v>3735</v>
      </c>
      <c r="W19" s="134">
        <f t="shared" si="18"/>
        <v>305</v>
      </c>
      <c r="X19" s="134">
        <f t="shared" si="18"/>
        <v>805</v>
      </c>
      <c r="Y19" s="134">
        <f t="shared" si="18"/>
        <v>17</v>
      </c>
      <c r="Z19" s="134">
        <f t="shared" si="18"/>
        <v>26</v>
      </c>
      <c r="AA19" s="134">
        <f t="shared" si="18"/>
        <v>31</v>
      </c>
      <c r="AB19" s="134">
        <f t="shared" si="18"/>
        <v>12</v>
      </c>
      <c r="AC19" s="134">
        <f t="shared" si="18"/>
        <v>0</v>
      </c>
      <c r="AD19" s="134">
        <f t="shared" si="18"/>
        <v>0</v>
      </c>
      <c r="AE19" s="134">
        <f t="shared" si="18"/>
        <v>0</v>
      </c>
      <c r="AF19" s="134">
        <f t="shared" si="18"/>
        <v>0</v>
      </c>
      <c r="AG19" s="134">
        <f t="shared" si="18"/>
        <v>27</v>
      </c>
      <c r="AH19" s="134">
        <f t="shared" si="18"/>
        <v>47</v>
      </c>
      <c r="AI19" s="134">
        <f t="shared" si="18"/>
        <v>34</v>
      </c>
      <c r="AJ19" s="134">
        <f t="shared" si="18"/>
        <v>40</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3558</v>
      </c>
      <c r="AZ19" s="134">
        <f>SUBTOTAL(9,AZ9:AZ18)</f>
        <v>1784</v>
      </c>
      <c r="BA19" s="134">
        <f>SUBTOTAL(9,BA9:BA18)</f>
        <v>1576</v>
      </c>
      <c r="BB19" s="134">
        <f>SUBTOTAL(9,BB9:BB18)</f>
        <v>3775</v>
      </c>
      <c r="BC19" s="135">
        <f>SUBTOTAL(9,BC9:BC18)</f>
        <v>474</v>
      </c>
      <c r="BD19" s="213">
        <f>IF(ISNUMBER(BA19/AZ19),BA19/AZ19," - ")</f>
        <v>0.88340807174887892</v>
      </c>
      <c r="BE19" s="210">
        <f>IF(ISNUMBER(BB19/BA19),BB19/BA19, " - ")</f>
        <v>2.3953045685279188</v>
      </c>
      <c r="BF19" s="210">
        <f>IF(ISNUMBER(BC19/BA19),BC19/BA19, " - ")</f>
        <v>0.30076142131979694</v>
      </c>
      <c r="BG19" s="135">
        <f>IF(ISNUMBER((AY19+AZ19)/BA19),(AY19+AZ19)/BA19," - ")</f>
        <v>3.3895939086294415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2Xch8zzStGSi3lCPDVqWlPeopBycGzX5KZOV0iof8hazBFSVBufj/ftJIDmeu+qWLej7KrJupsBvDu7glMj7g==" saltValue="hNIUQQ2AB4JntsfZaM/kg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1thuMWVPYwzQuwAbsoQ9tPc7mWV3sRTwlNBQYuyIZYZvJjZOT3cG3ZTdtKPf5aI8sZoppxq2AUoTegT4rxzQA==" saltValue="26+bHoc2gVmOTkHYVTSNg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 FELIU DE GUIXOLS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28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1</v>
      </c>
      <c r="AD10" s="334"/>
      <c r="AE10" s="484"/>
      <c r="AF10" s="332">
        <f>IF(ISNUMBER(Datos!L10),Datos!L10,"-")</f>
        <v>23</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2</v>
      </c>
      <c r="BE10" s="229" t="str">
        <f>IF(ISNUMBER(Datos!BW10),Datos!BW10," - ")</f>
        <v xml:space="preserve"> - </v>
      </c>
      <c r="BF10" s="228" t="str">
        <f>IF(ISNUMBER(Datos!BX10),Datos!BX10," - ")</f>
        <v xml:space="preserve"> - </v>
      </c>
      <c r="BG10" s="243">
        <f>IF(ISNUMBER(Datos!K10/Datos!J10),Datos!K10/Datos!J10," - ")</f>
        <v>6</v>
      </c>
      <c r="BH10" s="260">
        <f>IF(ISNUMBER(((Datos!L10/Datos!K10)*11)/factor_trimestre),((Datos!L10/Datos!K10)*11)/factor_trimestre," - ")</f>
        <v>11.500000000000002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9.0909090909090912E-2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v>
      </c>
      <c r="O12" s="334"/>
      <c r="P12" s="334"/>
      <c r="Q12" s="226">
        <f>IF(ISNUMBER(Datos!P12),Datos!P12,0)</f>
        <v>172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2916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196</v>
      </c>
      <c r="BD12" s="229">
        <f>IF(ISNUMBER(Datos!N12),Datos!N12," - ")</f>
        <v>489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0.83422459893048129</v>
      </c>
      <c r="BH12" s="260">
        <f>IF(ISNUMBER(((IF(J_V="SI",Datos!L12/Datos!K12,(Datos!L12+Datos!AB12)/(Datos!K12+Datos!AA12)))*11)/factor_trimestre),((IF(J_V="SI",Datos!L12/Datos!K12,(Datos!L12+Datos!AB12)/(Datos!K12+Datos!AA12)))*11)/factor_trimestre," - ")</f>
        <v>7.3241758241758248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-1.9172552976791119E-2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28</v>
      </c>
      <c r="G13" s="898">
        <f t="shared" si="0"/>
        <v>28</v>
      </c>
      <c r="H13" s="899">
        <f t="shared" si="0"/>
        <v>0</v>
      </c>
      <c r="I13" s="898">
        <f t="shared" si="0"/>
        <v>0</v>
      </c>
      <c r="J13" s="867">
        <f t="shared" si="0"/>
        <v>0</v>
      </c>
      <c r="K13" s="867">
        <f t="shared" si="0"/>
        <v>0</v>
      </c>
      <c r="L13" s="899">
        <f t="shared" si="0"/>
        <v>0</v>
      </c>
      <c r="M13" s="899">
        <f t="shared" si="0"/>
        <v>0</v>
      </c>
      <c r="N13" s="899">
        <f t="shared" si="0"/>
        <v>26</v>
      </c>
      <c r="O13" s="900">
        <f t="shared" si="0"/>
        <v>0</v>
      </c>
      <c r="P13" s="900">
        <f t="shared" si="0"/>
        <v>0</v>
      </c>
      <c r="Q13" s="899">
        <f t="shared" si="0"/>
        <v>175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230</v>
      </c>
      <c r="AD13" s="899">
        <f t="shared" si="1"/>
        <v>0</v>
      </c>
      <c r="AE13" s="899">
        <f t="shared" si="1"/>
        <v>0</v>
      </c>
      <c r="AF13" s="899">
        <f t="shared" si="1"/>
        <v>23</v>
      </c>
      <c r="AG13" s="899">
        <f t="shared" si="1"/>
        <v>0</v>
      </c>
      <c r="AH13" s="899">
        <f t="shared" si="1"/>
        <v>12</v>
      </c>
      <c r="AI13" s="899">
        <f t="shared" si="1"/>
        <v>0</v>
      </c>
      <c r="AJ13" s="899">
        <f t="shared" si="1"/>
        <v>0</v>
      </c>
      <c r="AK13" s="899">
        <f t="shared" si="1"/>
        <v>0</v>
      </c>
      <c r="AL13" s="899">
        <f t="shared" si="1"/>
        <v>0</v>
      </c>
      <c r="AM13" s="899">
        <f t="shared" si="1"/>
        <v>2940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197</v>
      </c>
      <c r="BD13" s="899">
        <f t="shared" si="1"/>
        <v>491</v>
      </c>
      <c r="BE13" s="899">
        <f t="shared" si="1"/>
        <v>0</v>
      </c>
      <c r="BF13" s="899">
        <f t="shared" si="1"/>
        <v>0</v>
      </c>
      <c r="BG13" s="899">
        <f>IF(ISNUMBER(Datos!K13/Datos!J13),Datos!K13/Datos!J13," - ")</f>
        <v>0.8309968847352025</v>
      </c>
      <c r="BH13" s="903">
        <f>IF(ISNUMBER(((Datos!L13/Datos!K13)*11)/factor_trimestre),((Datos!L13/Datos!K13)*11)/factor_trimestre," - ")</f>
        <v>7.5267104029990621</v>
      </c>
      <c r="BI13" s="899">
        <f>IF(ISNUMBER('Resol  Asuntos'!D13/NºAsuntos!G13),'Resol  Asuntos'!D13/NºAsuntos!G13," - ")</f>
        <v>0.17941712204007285</v>
      </c>
      <c r="BJ13" s="899" t="str">
        <f>IF(ISNUMBER(Datos!CI13/Datos!CJ13),Datos!CI13/Datos!CJ13," - ")</f>
        <v xml:space="preserve"> - </v>
      </c>
      <c r="BK13" s="899">
        <f>SUBTOTAL(9,BK8:BK12)</f>
        <v>0</v>
      </c>
      <c r="BL13" s="899">
        <f>IF(ISNUMBER((I13-AB13+L13)/(F13)),(I13-AB13+L13)/(F13)," - ")</f>
        <v>-0.21428571428571427</v>
      </c>
      <c r="BM13" s="904">
        <f>SUBTOTAL(9,BM9:BM12)</f>
        <v>7.1736537932299796E-2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1306</v>
      </c>
      <c r="G16" s="598">
        <f>IF(ISNUMBER(IF(D_I="SI",Datos!I16,Datos!I16+Datos!AC16)),IF(D_I="SI",Datos!I16,Datos!I16+Datos!AC16)," - ")</f>
        <v>1289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648</v>
      </c>
      <c r="AC16" s="226">
        <f>IF(ISNUMBER(Datos!Q16),Datos!Q16," - ")</f>
        <v>44</v>
      </c>
      <c r="AD16" s="334"/>
      <c r="AE16" s="484"/>
      <c r="AF16" s="596">
        <f>IF(ISNUMBER(IF(D_I="SI",Datos!L16,Datos!L16+Datos!AF16)),IF(D_I="SI",Datos!L16,Datos!L16+Datos!AF16)," - ")</f>
        <v>1327</v>
      </c>
      <c r="AG16" s="334"/>
      <c r="AH16" s="334"/>
      <c r="AI16" s="334"/>
      <c r="AJ16" s="334"/>
      <c r="AK16" s="334"/>
      <c r="AL16" s="479"/>
      <c r="AM16" s="335">
        <f>IF(ISNUMBER(Datos!R16),Datos!R16," - ")</f>
        <v>137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96</v>
      </c>
      <c r="BD16" s="229">
        <f>IF(ISNUMBER(Datos!N16),Datos!N16," - ")</f>
        <v>423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0.96860986547085204</v>
      </c>
      <c r="BH16" s="260">
        <f>IF(ISNUMBER(((IF(D_I="SI",Datos!L16/Datos!K16,(Datos!L16+Datos!AF16)/(Datos!K16+Datos!AE16)))*11)/factor_trimestre),((IF(D_I="SI",Datos!L16/Datos!K16,(Datos!L16+Datos!AF16)/(Datos!K16+Datos!AE16)))*11)/factor_trimestre," - ")</f>
        <v>6.143518518518519</v>
      </c>
      <c r="BI16" s="243">
        <f>IF(ISNUMBER('Resol  Asuntos'!D16/NºAsuntos!G16),'Resol  Asuntos'!D16/NºAsuntos!G16," - ")</f>
        <v>0.14814814814814814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v>
      </c>
      <c r="AC17" s="226">
        <f>IF(ISNUMBER(Datos!Q17),Datos!Q17," - ")</f>
        <v>0</v>
      </c>
      <c r="AD17" s="334"/>
      <c r="AE17" s="484"/>
      <c r="AF17" s="332">
        <f>IF(ISNUMBER(Datos!L17),Datos!L17,"-")</f>
        <v>72</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37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1.0149253731343284</v>
      </c>
      <c r="BH17" s="260">
        <f>IF(ISNUMBER(((IF(D_I="SI",Datos!L17/Datos!K17,(Datos!L17+Datos!AF17)/(Datos!K17+Datos!AE17)))*11)/factor_trimestre),((IF(D_I="SI",Datos!L17/Datos!K17,(Datos!L17+Datos!AF17)/(Datos!K17+Datos!AE17)))*11)/factor_trimestre," - ")</f>
        <v>3.1764705882352939</v>
      </c>
      <c r="BI17" s="243">
        <f>IF(ISNUMBER('Resol  Asuntos'!D17/NºAsuntos!G17),'Resol  Asuntos'!D17/NºAsuntos!G17," - ")</f>
        <v>4.4117647058823532E-2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1306</v>
      </c>
      <c r="G18" s="898">
        <f>SUBTOTAL(9,G15:G17)</f>
        <v>1362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716</v>
      </c>
      <c r="AC18" s="899">
        <f t="shared" si="4"/>
        <v>44</v>
      </c>
      <c r="AD18" s="899">
        <f t="shared" si="4"/>
        <v>0</v>
      </c>
      <c r="AE18" s="899">
        <f t="shared" si="4"/>
        <v>0</v>
      </c>
      <c r="AF18" s="899">
        <f t="shared" si="4"/>
        <v>1399</v>
      </c>
      <c r="AG18" s="899">
        <f t="shared" si="4"/>
        <v>0</v>
      </c>
      <c r="AH18" s="899">
        <f t="shared" si="4"/>
        <v>0</v>
      </c>
      <c r="AI18" s="899">
        <f t="shared" si="4"/>
        <v>0</v>
      </c>
      <c r="AJ18" s="899">
        <f t="shared" si="4"/>
        <v>0</v>
      </c>
      <c r="AK18" s="899">
        <f t="shared" si="4"/>
        <v>0</v>
      </c>
      <c r="AL18" s="899">
        <f t="shared" si="4"/>
        <v>0</v>
      </c>
      <c r="AM18" s="899">
        <f t="shared" si="4"/>
        <v>140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99</v>
      </c>
      <c r="BD18" s="899">
        <f t="shared" si="4"/>
        <v>460</v>
      </c>
      <c r="BE18" s="899">
        <f t="shared" si="4"/>
        <v>0</v>
      </c>
      <c r="BF18" s="899">
        <f t="shared" si="4"/>
        <v>0</v>
      </c>
      <c r="BG18" s="899">
        <f>IF(ISNUMBER(Datos!K18/Datos!J18),Datos!K18/Datos!J18," - ")</f>
        <v>0.97282608695652173</v>
      </c>
      <c r="BH18" s="903">
        <f>IF(ISNUMBER(((Datos!L18/Datos!K18)*11)/factor_trimestre),((Datos!L18/Datos!K18)*11)/factor_trimestre," - ")</f>
        <v>5.86173184357542</v>
      </c>
      <c r="BI18" s="899">
        <f>SUBTOTAL(9,BI15:BI17)</f>
        <v>0.19226579520697168</v>
      </c>
      <c r="BJ18" s="899">
        <f>SUBTOTAL(9,BJ15:BJ17)</f>
        <v>0</v>
      </c>
      <c r="BK18" s="899">
        <f>SUBTOTAL(9,BK15:BK17)</f>
        <v>0</v>
      </c>
      <c r="BL18" s="899">
        <f>IF(ISNUMBER((I18-AB18+L18)/(F18)),(I18-AB18+L18)/(F18)," - ")</f>
        <v>-0.5482388973966309</v>
      </c>
      <c r="BM18" s="905">
        <f>IF(ISNUMBER((Datos!P18-Datos!Q18)/(Datos!R18-Datos!P18+Datos!Q18)),(Datos!P18-Datos!Q18)/(Datos!R18-Datos!P18+Datos!Q18)," - ")</f>
        <v>-3.4482758620689655E-2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1334</v>
      </c>
      <c r="G19" s="820">
        <f t="shared" si="6"/>
        <v>1390</v>
      </c>
      <c r="H19" s="822">
        <f t="shared" si="6"/>
        <v>0</v>
      </c>
      <c r="I19" s="820">
        <f t="shared" si="6"/>
        <v>0</v>
      </c>
      <c r="J19" s="822">
        <f t="shared" si="6"/>
        <v>0</v>
      </c>
      <c r="K19" s="822">
        <f t="shared" si="6"/>
        <v>0</v>
      </c>
      <c r="L19" s="881">
        <f t="shared" si="6"/>
        <v>0</v>
      </c>
      <c r="M19" s="881">
        <f t="shared" si="6"/>
        <v>0</v>
      </c>
      <c r="N19" s="881">
        <f t="shared" si="6"/>
        <v>26</v>
      </c>
      <c r="O19" s="881">
        <f t="shared" si="6"/>
        <v>0</v>
      </c>
      <c r="P19" s="881">
        <f t="shared" si="6"/>
        <v>0</v>
      </c>
      <c r="Q19" s="822">
        <f t="shared" si="6"/>
        <v>214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722</v>
      </c>
      <c r="AC19" s="821">
        <f t="shared" si="7"/>
        <v>274</v>
      </c>
      <c r="AD19" s="821">
        <f t="shared" si="7"/>
        <v>0</v>
      </c>
      <c r="AE19" s="821">
        <f t="shared" si="7"/>
        <v>0</v>
      </c>
      <c r="AF19" s="828">
        <f t="shared" si="7"/>
        <v>1422</v>
      </c>
      <c r="AG19" s="828">
        <f t="shared" si="7"/>
        <v>0</v>
      </c>
      <c r="AH19" s="828">
        <f t="shared" si="7"/>
        <v>12</v>
      </c>
      <c r="AI19" s="828">
        <f t="shared" si="7"/>
        <v>0</v>
      </c>
      <c r="AJ19" s="821">
        <f t="shared" si="7"/>
        <v>0</v>
      </c>
      <c r="AK19" s="828">
        <f t="shared" si="7"/>
        <v>0</v>
      </c>
      <c r="AL19" s="828">
        <f t="shared" si="7"/>
        <v>0</v>
      </c>
      <c r="AM19" s="828">
        <f t="shared" si="7"/>
        <v>3080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296</v>
      </c>
      <c r="BD19" s="820">
        <f t="shared" si="7"/>
        <v>951</v>
      </c>
      <c r="BE19" s="820">
        <f t="shared" si="7"/>
        <v>0</v>
      </c>
      <c r="BF19" s="830">
        <f t="shared" si="7"/>
        <v>0</v>
      </c>
      <c r="BG19" s="915">
        <f>IF(ISNUMBER(Datos!K19/Datos!J19),Datos!K19/Datos!J19," - ")</f>
        <v>0.88267326732673268</v>
      </c>
      <c r="BH19" s="915">
        <f>IF(ISNUMBER(((Datos!L19/Datos!K19)*11)/factor_trimestre),((Datos!L19/Datos!K19)*11)/factor_trimestre," - ")</f>
        <v>6.8581043185642176</v>
      </c>
      <c r="BI19" s="813">
        <f>IF(ISNUMBER(Datos!J19/Datos!I19),Datos!J19/Datos!I19," - ")</f>
        <v>0.52851909994767132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-0.54122938530734632</v>
      </c>
      <c r="BM19" s="889">
        <f>IF(ISNUMBER((Datos!P19-Datos!Q19+R19)/(Datos!R19-Datos!P19+Datos!Q19-R19)),(Datos!P19-Datos!Q19+R19)/(Datos!R19-Datos!P19+Datos!Q19-R19)," - ")</f>
        <v>-1.9108280254777069E-2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737.85364402434175</v>
      </c>
      <c r="G21" s="552">
        <f>IF(ISNUMBER(STDEV(G8:G18)),STDEV(G8:G18),"-")</f>
        <v>703.16818756254895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360.63444095094411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86.995785338524684</v>
      </c>
      <c r="BD21" s="551"/>
      <c r="BE21" s="551">
        <f>IF(ISNUMBER(STDEV(BE8:BE18)),STDEV(BE8:BE18),"-")</f>
        <v>0</v>
      </c>
      <c r="BF21" s="556">
        <f>IF(ISNUMBER(STDEV(BF8:BF18)),STDEV(BF8:BF18),"-")</f>
        <v>0</v>
      </c>
      <c r="BG21" s="775">
        <f>IF(ISNUMBER(STDEV(BG8:BG18)),STDEV(BG8:BG18),"-")</f>
        <v>2.0735550208118587</v>
      </c>
      <c r="BH21" s="776">
        <f>IF(ISNUMBER(STDEV(BH8:BH18)),STDEV(BH8:BH18),"-")</f>
        <v>2.7292745028133329</v>
      </c>
      <c r="BI21" s="249">
        <f>IF(ISNUMBER(STDEV(BI8:BI18)),STDEV(BI8:BI18),"-")</f>
        <v>6.7184677568149068E-2</v>
      </c>
      <c r="BJ21" s="230" t="str">
        <f>IF(ISNUMBER(BL21/BM21),BL21/BM21," - ")</f>
        <v xml:space="preserve"> - </v>
      </c>
      <c r="BK21" s="575"/>
      <c r="BL21" s="559">
        <f>IF(ISNUMBER(STDEV(BL8:BL18)),STDEV(BL8:BL18),"-")</f>
        <v>0.23614056037656189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5h4GoUjipMiY0LBLk9hiZfpmqHLUuegRVURSsvlAs2JGK5ov9cs48/WwTndGrSxXSx6x+Sd6eOgj5jccKA4EJQ==" saltValue="getkC9SEjCJjERLD0JtjS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SANT FELIU DE GUIXOLS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28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1</v>
      </c>
      <c r="AA10" s="332">
        <f>IF(ISNUMBER(Datos!L10),Datos!L10,"-")</f>
        <v>23</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11.500000000000002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9.0909090909090912E-2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229</v>
      </c>
      <c r="AA12" s="332" t="str">
        <f>IF(ISNUMBER(IF(J_V="SI",Datos!L12,Datos!L12+Datos!AB12)-IF(Monitorios="SI",Datos!CD12,0)),
                          IF(J_V="SI",Datos!L12,Datos!L12+Datos!AB12)-IF(Monitorios="SI",Datos!CD12,0),
                          " - ")</f>
        <v xml:space="preserve"> - </v>
      </c>
      <c r="AB12" s="334"/>
      <c r="AC12" s="334"/>
      <c r="AD12" s="484"/>
      <c r="AE12" s="484">
        <f>IF(ISNUMBER(Datos!R12),Datos!R12," - ")</f>
        <v>2916</v>
      </c>
      <c r="AF12" s="229" t="str">
        <f>IF(ISNUMBER(Datos!BV12),Datos!BV12," - ")</f>
        <v xml:space="preserve"> - </v>
      </c>
      <c r="AG12" s="225" t="str">
        <f>IF(ISNUMBER(Datos!DV12),Datos!DV12," - ")</f>
        <v xml:space="preserve"> - </v>
      </c>
      <c r="AH12" s="298"/>
      <c r="AI12" s="227"/>
      <c r="AJ12" s="225">
        <f>IF(ISNUMBER(Datos!M12),Datos!M12," - ")</f>
        <v>196</v>
      </c>
      <c r="AK12" s="229">
        <f>IF(ISNUMBER(Datos!N12),Datos!N12," - ")</f>
        <v>489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7.3241758241758248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-1.9172552976791119E-2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28</v>
      </c>
      <c r="G13" s="898">
        <f>SUBTOTAL(9,G8:G12)</f>
        <v>28</v>
      </c>
      <c r="H13" s="908"/>
      <c r="I13" s="898">
        <f t="shared" ref="I13:N13" si="0">SUBTOTAL(9,I8:I12)</f>
        <v>0</v>
      </c>
      <c r="J13" s="867">
        <f t="shared" si="0"/>
        <v>0</v>
      </c>
      <c r="K13" s="908">
        <f t="shared" si="0"/>
        <v>0</v>
      </c>
      <c r="L13" s="908">
        <f t="shared" si="0"/>
        <v>0</v>
      </c>
      <c r="M13" s="908">
        <f t="shared" si="0"/>
        <v>0</v>
      </c>
      <c r="N13" s="908">
        <f t="shared" si="0"/>
        <v>175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230</v>
      </c>
      <c r="AA13" s="900">
        <f t="shared" si="2"/>
        <v>23</v>
      </c>
      <c r="AB13" s="900">
        <f t="shared" si="2"/>
        <v>0</v>
      </c>
      <c r="AC13" s="900">
        <f t="shared" si="2"/>
        <v>0</v>
      </c>
      <c r="AD13" s="900">
        <f t="shared" si="2"/>
        <v>0</v>
      </c>
      <c r="AE13" s="900">
        <f t="shared" si="2"/>
        <v>2940</v>
      </c>
      <c r="AF13" s="908">
        <f t="shared" si="2"/>
        <v>0</v>
      </c>
      <c r="AG13" s="908">
        <f t="shared" si="2"/>
        <v>0</v>
      </c>
      <c r="AH13" s="908">
        <f t="shared" si="2"/>
        <v>0</v>
      </c>
      <c r="AI13" s="908">
        <f t="shared" si="2"/>
        <v>0</v>
      </c>
      <c r="AJ13" s="908">
        <f t="shared" si="2"/>
        <v>197</v>
      </c>
      <c r="AK13" s="908">
        <f t="shared" si="2"/>
        <v>491</v>
      </c>
      <c r="AL13" s="908">
        <f t="shared" si="2"/>
        <v>0</v>
      </c>
      <c r="AM13" s="908">
        <f t="shared" si="2"/>
        <v>0</v>
      </c>
      <c r="AN13" s="908">
        <f t="shared" si="2"/>
        <v>0</v>
      </c>
      <c r="AO13" s="904">
        <f>IF(ISNUMBER(((NºAsuntos!I13/NºAsuntos!G13)*11)/factor_trimestre),((NºAsuntos!I13/NºAsuntos!G13)*11)/factor_trimestre," - ")</f>
        <v>7.3469945355191255</v>
      </c>
      <c r="AP13" s="910" t="str">
        <f>IF(ISNUMBER(Datos!CI13/Datos!CJ13),Datos!CI13/Datos!CJ13," - ")</f>
        <v xml:space="preserve"> - </v>
      </c>
      <c r="AQ13" s="928">
        <f t="shared" ref="AQ13:AV13" si="3">SUBTOTAL(9,AQ9:AQ12)</f>
        <v>0</v>
      </c>
      <c r="AR13" s="928">
        <f t="shared" si="3"/>
        <v>7.1736537932299796E-2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1306</v>
      </c>
      <c r="G16" s="225">
        <f>IF(ISNUMBER(IF(D_I="SI",Datos!I16,Datos!I16+Datos!AC16)),IF(D_I="SI",Datos!I16,Datos!I16+Datos!AC16)," - ")</f>
        <v>1289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648</v>
      </c>
      <c r="Z16" s="619">
        <f>IF(ISNUMBER(Datos!Q16),Datos!Q16," - ")</f>
        <v>44</v>
      </c>
      <c r="AA16" s="332">
        <f>IF(ISNUMBER(IF(D_I="SI",Datos!L16,Datos!L16+Datos!AF16)),IF(D_I="SI",Datos!L16,Datos!L16+Datos!AF16)," - ")</f>
        <v>1327</v>
      </c>
      <c r="AB16" s="334"/>
      <c r="AC16" s="334"/>
      <c r="AD16" s="484"/>
      <c r="AE16" s="484">
        <f>IF(ISNUMBER(Datos!R16),Datos!R16," - ")</f>
        <v>137</v>
      </c>
      <c r="AF16" s="229" t="str">
        <f>IF(ISNUMBER(Datos!BV16),Datos!BV16," - ")</f>
        <v xml:space="preserve"> - </v>
      </c>
      <c r="AG16" s="225"/>
      <c r="AH16" s="298"/>
      <c r="AI16" s="227"/>
      <c r="AJ16" s="225">
        <f>IF(ISNUMBER(Datos!M16),Datos!M16," - ")</f>
        <v>96</v>
      </c>
      <c r="AK16" s="229">
        <f>IF(ISNUMBER(Datos!N16),Datos!N16," - ")</f>
        <v>423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6.143518518518519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v>
      </c>
      <c r="Z17" s="619">
        <f>IF(ISNUMBER(Datos!Q17),Datos!Q17," - ")</f>
        <v>0</v>
      </c>
      <c r="AA17" s="332">
        <f>IF(ISNUMBER(Datos!L17),Datos!L17,"-")</f>
        <v>72</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3</v>
      </c>
      <c r="AK17" s="229">
        <f>IF(ISNUMBER(Datos!N17),Datos!N17," - ")</f>
        <v>37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3.1764705882352939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1306</v>
      </c>
      <c r="G18" s="898">
        <f>SUBTOTAL(9,G15:G17)</f>
        <v>1362</v>
      </c>
      <c r="H18" s="932">
        <f>SUBTOTAL(9,H15:H17)</f>
        <v>0</v>
      </c>
      <c r="I18" s="911">
        <f>SUBTOTAL(9,I15:I17)</f>
        <v>0</v>
      </c>
      <c r="J18" s="867">
        <f>SUBTOTAL(9,J14:J17)</f>
        <v>0</v>
      </c>
      <c r="K18" s="932">
        <f t="shared" ref="K18:S18" si="4">SUBTOTAL(9,K15:K17)</f>
        <v>0</v>
      </c>
      <c r="L18" s="932">
        <f t="shared" si="4"/>
        <v>0</v>
      </c>
      <c r="M18" s="932">
        <f t="shared" si="4"/>
        <v>0</v>
      </c>
      <c r="N18" s="932">
        <f t="shared" si="4"/>
        <v>39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716</v>
      </c>
      <c r="Z18" s="932">
        <f t="shared" si="5"/>
        <v>44</v>
      </c>
      <c r="AA18" s="932">
        <f t="shared" si="5"/>
        <v>1399</v>
      </c>
      <c r="AB18" s="932">
        <f t="shared" si="5"/>
        <v>0</v>
      </c>
      <c r="AC18" s="932">
        <f t="shared" si="5"/>
        <v>0</v>
      </c>
      <c r="AD18" s="932">
        <f t="shared" si="5"/>
        <v>0</v>
      </c>
      <c r="AE18" s="932">
        <f t="shared" si="5"/>
        <v>140</v>
      </c>
      <c r="AF18" s="932">
        <f t="shared" si="5"/>
        <v>0</v>
      </c>
      <c r="AG18" s="932">
        <f t="shared" si="5"/>
        <v>0</v>
      </c>
      <c r="AH18" s="932">
        <f t="shared" si="5"/>
        <v>0</v>
      </c>
      <c r="AI18" s="932">
        <f t="shared" si="5"/>
        <v>0</v>
      </c>
      <c r="AJ18" s="932">
        <f t="shared" si="5"/>
        <v>99</v>
      </c>
      <c r="AK18" s="932">
        <f t="shared" si="5"/>
        <v>460</v>
      </c>
      <c r="AL18" s="932">
        <f t="shared" si="5"/>
        <v>0</v>
      </c>
      <c r="AM18" s="932">
        <f t="shared" si="5"/>
        <v>0</v>
      </c>
      <c r="AN18" s="932">
        <f t="shared" si="5"/>
        <v>0</v>
      </c>
      <c r="AO18" s="934">
        <f>IF(ISNUMBER(((NºAsuntos!I18/NºAsuntos!G18)*11)/factor_trimestre),((NºAsuntos!I18/NºAsuntos!G18)*11)/factor_trimestre," - ")</f>
        <v>5.86173184357542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1334</v>
      </c>
      <c r="G19" s="820">
        <f t="shared" si="7"/>
        <v>1390</v>
      </c>
      <c r="H19" s="821">
        <f t="shared" si="7"/>
        <v>0</v>
      </c>
      <c r="I19" s="820">
        <f t="shared" si="7"/>
        <v>0</v>
      </c>
      <c r="J19" s="822">
        <f t="shared" si="7"/>
        <v>0</v>
      </c>
      <c r="K19" s="820">
        <f t="shared" si="7"/>
        <v>0</v>
      </c>
      <c r="L19" s="823">
        <f t="shared" si="7"/>
        <v>0</v>
      </c>
      <c r="M19" s="820">
        <f t="shared" si="7"/>
        <v>0</v>
      </c>
      <c r="N19" s="821">
        <f t="shared" si="7"/>
        <v>214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722</v>
      </c>
      <c r="Z19" s="827">
        <f t="shared" si="8"/>
        <v>274</v>
      </c>
      <c r="AA19" s="828">
        <f t="shared" si="8"/>
        <v>1422</v>
      </c>
      <c r="AB19" s="828">
        <f t="shared" si="8"/>
        <v>0</v>
      </c>
      <c r="AC19" s="828">
        <f t="shared" si="8"/>
        <v>0</v>
      </c>
      <c r="AD19" s="829">
        <f t="shared" si="8"/>
        <v>0</v>
      </c>
      <c r="AE19" s="829">
        <f t="shared" si="8"/>
        <v>3080</v>
      </c>
      <c r="AF19" s="830">
        <f t="shared" si="8"/>
        <v>0</v>
      </c>
      <c r="AG19" s="831">
        <f t="shared" si="8"/>
        <v>0</v>
      </c>
      <c r="AH19" s="832">
        <f t="shared" si="8"/>
        <v>0</v>
      </c>
      <c r="AI19" s="830">
        <f t="shared" si="8"/>
        <v>0</v>
      </c>
      <c r="AJ19" s="820">
        <f t="shared" si="8"/>
        <v>296</v>
      </c>
      <c r="AK19" s="820">
        <f t="shared" si="8"/>
        <v>951</v>
      </c>
      <c r="AL19" s="820">
        <f t="shared" si="8"/>
        <v>0</v>
      </c>
      <c r="AM19" s="833">
        <f t="shared" si="8"/>
        <v>0</v>
      </c>
      <c r="AN19" s="823">
        <f>IF(ISNUMBER(Datos!K19/Datos!J19),Datos!K19/Datos!J19," - ")</f>
        <v>0.88267326732673268</v>
      </c>
      <c r="AO19" s="823">
        <f>IF(ISNUMBER(FIND("06",Criterios!A8,1)),(IF(ISNUMBER(((Datos!R19/Datos!Q19)*11)/factor_trimestre),((Datos!R19/Datos!Q19)*11)/factor_trimestre," - ")),(IF(ISNUMBER(((Datos!L19/Datos!K19)*11)/factor_trimestre),((Datos!L19/Datos!K19)*11)/factor_trimestre," - ")))</f>
        <v>6.8581043185642176</v>
      </c>
      <c r="AP19" s="834" t="str">
        <f>IF(ISNUMBER(Datos!CI19/Datos!CJ19),Datos!CI19/Datos!CJ19," - ")</f>
        <v xml:space="preserve"> - </v>
      </c>
      <c r="AQ19" s="834">
        <f>IF(OR(ISNUMBER(FIND("01",Criterios!A8,1)),ISNUMBER(FIND("02",Criterios!A8,1)),ISNUMBER(FIND("03",Criterios!A8,1)),ISNUMBER(FIND("04",Criterios!A8,1))),(J19-Y19+K19)/(F19-K19),(I19-Y19+K19)/(F19-K19))</f>
        <v>-0.54122938530734632</v>
      </c>
      <c r="AR19" s="834">
        <f>IF(ISNUMBER((Datos!P19-Datos!Q19+O19)/(Datos!R19-Datos!P19+Datos!Q19-O19)),(Datos!P19-Datos!Q19+O19)/(Datos!R19-Datos!P19+Datos!Q19-O19)," - ")</f>
        <v>-1.9108280254777069E-2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737.85364402434175</v>
      </c>
      <c r="G21" s="552">
        <f>IF(ISNUMBER(STDEV(G8:G18)),STDEV(G8:G18),"-")</f>
        <v>703.16818756254895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86.995785338524684</v>
      </c>
      <c r="AK21" s="252"/>
      <c r="AL21" s="252">
        <f>IF(ISNUMBER(STDEV(AL8:AL18)),STDEV(AL8:AL18),"-")</f>
        <v>0</v>
      </c>
      <c r="AM21" s="254">
        <f>IF(ISNUMBER(STDEV(AM8:AM18)),STDEV(AM8:AM18),"-")</f>
        <v>0</v>
      </c>
      <c r="AN21" s="539">
        <f>IF(ISNUMBER(STDEV(AN8:AN18)),STDEV(AN8:AN18),"-")</f>
        <v>0</v>
      </c>
      <c r="AO21" s="540">
        <f>IF(ISNUMBER(STDEV(AO8:AO18)),STDEV(AO8:AO18),"-")</f>
        <v>2.722289317831609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kmxc2ZAbTLNYobdxMJ9bN/OANZZP7NQijx1Nsmo8SCbJIlyi7YlUCIDybECWNRsksBPa0svcZsIhPsSs7Zo62Q==" saltValue="OLAzddKQd9uCf2XUTZ4XG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5uMceprd03etMY/vsHorLuQEpnH9ngXIjBJA/eyQz/71jkT32iZy0uc3t7qWKMpk4yt4loTQ3skDorHbEr3zA==" saltValue="RsFYHCNEJa+S/1ZA+w+5+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2zg0/PiFYKhWA6emyV3vgoJsKWUiGVpcIMzxszEGcQ3RHVuMn+KWN2vbnsExe9J4Id6H6tbdvilunTSEpw1Q==" saltValue="uAWR2iV5ASImLQxeyPFfg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SANT FELIU DE GUIXOLS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0.17941712204007285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0.1268670636555099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9SYyGzvvNjBkYR83COShGKpZihqkKINnHg81rDWzgdDtMQcnHzOBIzvoU+Fueo1aWNrxwZtN3LpyNYqtzb5b0g==" saltValue="rSAzGoOd2BgeBqY3bexH3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LWiYb7At6czgQWqGjO3S8fkxtt7Rg+mpSxyqcfVRDgQsNLPEVv+hAdtyC9vE4WqlxdV9qMTGBgWOe4ZGvpDZA==" saltValue="Vc6/qhXGnWGga+Ows1Xqz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SANT FELIU DE GUIXOLS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28</v>
      </c>
      <c r="D10" s="404">
        <f>IF(ISNUMBER(C10/Datos!BH10),C10/Datos!BH10," - ")</f>
        <v>28</v>
      </c>
      <c r="E10" s="403">
        <f>IF(ISNUMBER(Datos!J10),Datos!J10," - ")</f>
        <v>1</v>
      </c>
      <c r="F10" s="404">
        <f>IF(ISNUMBER(E10/B10),E10/B10," - ")</f>
        <v>1</v>
      </c>
      <c r="G10" s="403">
        <f>IF(ISNUMBER(Datos!K10),Datos!K10," - ")</f>
        <v>6</v>
      </c>
      <c r="H10" s="404">
        <f>IF(ISNUMBER(G10/B10),G10/B10," - ")</f>
        <v>6</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2449</v>
      </c>
      <c r="D12" s="404">
        <f>IF(ISNUMBER(C12/Datos!BH12),C12/Datos!BH12," - ")</f>
        <v>816.33333333333337</v>
      </c>
      <c r="E12" s="403">
        <f>IF(ISNUMBER(IF(J_V="SI",Datos!J12,Datos!J12+Datos!Z12)),IF(J_V="SI",Datos!J12,Datos!J12+Datos!Z12)," - ")</f>
        <v>1309</v>
      </c>
      <c r="F12" s="404">
        <f>IF(ISNUMBER(E12/B12),E12/B12," - ")</f>
        <v>436.33333333333331</v>
      </c>
      <c r="G12" s="403">
        <f>IF(ISNUMBER(IF(J_V="SI",Datos!K12,Datos!K12+Datos!AA12)),IF(J_V="SI",Datos!K12,Datos!K12+Datos!AA12)," - ")</f>
        <v>1092</v>
      </c>
      <c r="H12" s="404">
        <f>IF(ISNUMBER(G12/B12),G12/B12," - ")</f>
        <v>364</v>
      </c>
      <c r="I12" s="403">
        <f>IF(ISNUMBER(IF(J_V="SI",Datos!L12,Datos!L12+Datos!AB12)),IF(J_V="SI",Datos!L12,Datos!L12+Datos!AB12)," - ")</f>
        <v>2666</v>
      </c>
      <c r="J12" s="404">
        <f>IF(ISNUMBER(I12/B12),I12/B12," - ")</f>
        <v>888.66666666666663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2477</v>
      </c>
      <c r="D13" s="850" t="str">
        <f>IF(ISNUMBER(C13/Datos!BI13),C13/Datos!BI13," - ")</f>
        <v xml:space="preserve"> - </v>
      </c>
      <c r="E13" s="849">
        <f>SUBTOTAL(9,E8:E12)</f>
        <v>1310</v>
      </c>
      <c r="F13" s="850">
        <f>IF(ISNUMBER(E13/B13),E13/B13," - ")</f>
        <v>436.66666666666669</v>
      </c>
      <c r="G13" s="849">
        <f>SUBTOTAL(9,G8:G12)</f>
        <v>1098</v>
      </c>
      <c r="H13" s="850">
        <f>IF(ISNUMBER(G13/B13),G13/B13," - ")</f>
        <v>366</v>
      </c>
      <c r="I13" s="849">
        <f>SUBTOTAL(9,I8:I12)</f>
        <v>2689</v>
      </c>
      <c r="J13" s="850">
        <f>IF(ISNUMBER(I13/B13),I13/B13," - ")</f>
        <v>896.33333333333337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1289</v>
      </c>
      <c r="D16" s="404">
        <f>IF(ISNUMBER(C16/Datos!BH16),C16/Datos!BH16," - ")</f>
        <v>429.66666666666669</v>
      </c>
      <c r="E16" s="403">
        <f>IF(ISNUMBER(IF(D_I="SI",Datos!J16,Datos!J16+Datos!AD16)),IF(D_I="SI",Datos!J16,Datos!J16+Datos!AD16)," - ")</f>
        <v>669</v>
      </c>
      <c r="F16" s="404">
        <f>IF(ISNUMBER(E16/B16),E16/B16," - ")</f>
        <v>223</v>
      </c>
      <c r="G16" s="403">
        <f>IF(ISNUMBER(IF(D_I="SI",Datos!K16,Datos!K16+Datos!AE16)),IF(D_I="SI",Datos!K16,Datos!K16+Datos!AE16)," - ")</f>
        <v>648</v>
      </c>
      <c r="H16" s="404">
        <f>IF(ISNUMBER(G16/B16),G16/B16," - ")</f>
        <v>216</v>
      </c>
      <c r="I16" s="403">
        <f>IF(ISNUMBER(IF(D_I="SI",Datos!L16,Datos!L16+Datos!AF16)),IF(D_I="SI",Datos!L16,Datos!L16+Datos!AF16)," - ")</f>
        <v>1327</v>
      </c>
      <c r="J16" s="404">
        <f>IF(ISNUMBER(I16/B16),I16/B16," - ")</f>
        <v>442.33333333333331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73</v>
      </c>
      <c r="D17" s="404">
        <f>IF(ISNUMBER(C17/Datos!BH17),C17/Datos!BH17," - ")</f>
        <v>73</v>
      </c>
      <c r="E17" s="403">
        <f>IF(ISNUMBER(IF(D_I="SI",Datos!J17,Datos!J17+Datos!AD17)),IF(D_I="SI",Datos!J17,Datos!J17+Datos!AD17)," - ")</f>
        <v>67</v>
      </c>
      <c r="F17" s="404">
        <f>IF(ISNUMBER(E17/B17),E17/B17," - ")</f>
        <v>67</v>
      </c>
      <c r="G17" s="403">
        <f>IF(ISNUMBER(IF(D_I="SI",Datos!K17,Datos!K17+Datos!AE17)),IF(D_I="SI",Datos!K17,Datos!K17+Datos!AE17)," - ")</f>
        <v>68</v>
      </c>
      <c r="H17" s="404">
        <f>IF(ISNUMBER(G17/B17),G17/B17," - ")</f>
        <v>68</v>
      </c>
      <c r="I17" s="403">
        <f>IF(ISNUMBER(IF(D_I="SI",Datos!L17,Datos!L17+Datos!AF17)),IF(D_I="SI",Datos!L17,Datos!L17+Datos!AF17)," - ")</f>
        <v>72</v>
      </c>
      <c r="J17" s="404">
        <f>IF(ISNUMBER(I17/B17),I17/B17," - ")</f>
        <v>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1362</v>
      </c>
      <c r="D18" s="850" t="str">
        <f>IF(ISNUMBER(C18/Datos!BI18),C18/Datos!BI18," - ")</f>
        <v xml:space="preserve"> - </v>
      </c>
      <c r="E18" s="849">
        <f>SUBTOTAL(9,E14:E17)</f>
        <v>736</v>
      </c>
      <c r="F18" s="850">
        <f>IF(ISNUMBER(E18/B18),E18/B18," - ")</f>
        <v>245.33333333333334</v>
      </c>
      <c r="G18" s="849">
        <f>SUBTOTAL(9,G14:G17)</f>
        <v>716</v>
      </c>
      <c r="H18" s="850">
        <f>IF(ISNUMBER(G18/B18),G18/B18," - ")</f>
        <v>238.66666666666666</v>
      </c>
      <c r="I18" s="849">
        <f>SUBTOTAL(9,I14:I17)</f>
        <v>1399</v>
      </c>
      <c r="J18" s="850">
        <f>IF(ISNUMBER(I18/B18),I18/B18," - ")</f>
        <v>466.33333333333331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3839</v>
      </c>
      <c r="D19" s="795" t="str">
        <f>IF(ISNUMBER(C19/Datos!BI19),C19/Datos!BI19," - ")</f>
        <v xml:space="preserve"> - </v>
      </c>
      <c r="E19" s="794">
        <f>SUBTOTAL(9,E9:E18)</f>
        <v>2046</v>
      </c>
      <c r="F19" s="795">
        <f>IF(ISNUMBER(E19/B19),E19/B19," - ")</f>
        <v>682</v>
      </c>
      <c r="G19" s="794">
        <f>SUBTOTAL(9,G9:G18)</f>
        <v>1814</v>
      </c>
      <c r="H19" s="795">
        <f>IF(ISNUMBER(G19/B19),G19/B19," - ")</f>
        <v>604.66666666666663</v>
      </c>
      <c r="I19" s="794">
        <f>SUBTOTAL(9,I9:I18)</f>
        <v>4088</v>
      </c>
      <c r="J19" s="795">
        <f>IF(ISNUMBER(I19/B19),I19/B19," - ")</f>
        <v>1362.6666666666667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lE09pIpbHVGqLkdAMUDh8oY1YokW9ADPXRAp/Tb5tTUTB2Z6bmKMh/ENbzZ1IOqyMQX3xFlMjJGLWTLh9UKuw==" saltValue="rpaSnjmg6EYe+g+R2Tl8h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SANT FELIU DE GUIXOLS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28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11.500000000000002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2916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196</v>
      </c>
      <c r="AM12" s="690">
        <f>IF(ISNUMBER(Datos!N12+DatosP!N16),Datos!N12+DatosP!N16," - ")</f>
        <v>489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7.3241758241758248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-1.9172552976791119E-2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28</v>
      </c>
      <c r="G13" s="938">
        <f t="shared" si="0"/>
        <v>28</v>
      </c>
      <c r="H13" s="938">
        <f t="shared" si="0"/>
        <v>0</v>
      </c>
      <c r="I13" s="940">
        <f t="shared" si="0"/>
        <v>0</v>
      </c>
      <c r="J13" s="939">
        <f t="shared" si="0"/>
        <v>0</v>
      </c>
      <c r="K13" s="939">
        <f t="shared" si="0"/>
        <v>0</v>
      </c>
      <c r="L13" s="941">
        <f t="shared" si="0"/>
        <v>0</v>
      </c>
      <c r="M13" s="941">
        <f t="shared" si="0"/>
        <v>0</v>
      </c>
      <c r="N13" s="939">
        <f t="shared" si="0"/>
        <v>175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229</v>
      </c>
      <c r="AE13" s="939">
        <f t="shared" si="1"/>
        <v>0</v>
      </c>
      <c r="AF13" s="939">
        <f t="shared" si="1"/>
        <v>23</v>
      </c>
      <c r="AG13" s="939">
        <f t="shared" si="1"/>
        <v>0</v>
      </c>
      <c r="AH13" s="939">
        <f t="shared" si="1"/>
        <v>2916</v>
      </c>
      <c r="AI13" s="939">
        <f t="shared" si="1"/>
        <v>0</v>
      </c>
      <c r="AJ13" s="939">
        <f t="shared" si="1"/>
        <v>0</v>
      </c>
      <c r="AK13" s="939">
        <f t="shared" si="1"/>
        <v>0</v>
      </c>
      <c r="AL13" s="939">
        <f t="shared" si="1"/>
        <v>197</v>
      </c>
      <c r="AM13" s="939">
        <f t="shared" si="1"/>
        <v>491</v>
      </c>
      <c r="AN13" s="939">
        <f t="shared" si="1"/>
        <v>0</v>
      </c>
      <c r="AO13" s="939">
        <f t="shared" si="1"/>
        <v>0</v>
      </c>
      <c r="AP13" s="944">
        <f>IF(ISNUMBER(((Datos!L13/Datos!K13)*11)/factor_trimestre),((Datos!L13/Datos!K13)*11)/factor_trimestre," - ")</f>
        <v>7.5267104029990621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-0.21428571428571427</v>
      </c>
      <c r="AU13" s="939" t="str">
        <f>IF(ISNUMBER((DatosP!#REF!-DatosP!#REF!+DatosP!#REF!)/(DatosP!#REF!+DatosP!#REF!-DatosP!#REF!-DatosP!#REF!)),(DatosP!#REF!-DatosP!#REF!+DatosP!#REF!)/(DatosP!#REF!+DatosP!#REF!-DatosP!#REF!-DatosP!#REF!)," - ")</f>
        <v xml:space="preserve"> - </v>
      </c>
      <c r="AV13" s="945">
        <f>SUBTOTAL(9,AV9:AV12)</f>
        <v>-1.9172552976791119E-2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5.86173184357542</v>
      </c>
      <c r="AQ18" s="944">
        <f>IF(ISNUMBER(((Datos!M18/Datos!L18)*11)/factor_trimestre),((Datos!M18/Datos!L18)*11)/factor_trimestre," - ")</f>
        <v>0.21229449606862044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-3.4482758620689655E-2</v>
      </c>
      <c r="AW18" s="946">
        <f>IF(ISNUMBER((Datos!Q18-Datos!R18)/(Datos!S18-Datos!Q18+Datos!R18)),(Datos!Q18-Datos!R18)/(Datos!S18-Datos!Q18+Datos!R18)," - ")</f>
        <v>-7.582938388625593E-2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28</v>
      </c>
      <c r="G19" s="951">
        <f t="shared" si="4"/>
        <v>28</v>
      </c>
      <c r="H19" s="951">
        <f t="shared" si="4"/>
        <v>0</v>
      </c>
      <c r="I19" s="952">
        <f t="shared" si="4"/>
        <v>0</v>
      </c>
      <c r="J19" s="953">
        <f t="shared" si="4"/>
        <v>0</v>
      </c>
      <c r="K19" s="953">
        <f t="shared" si="4"/>
        <v>0</v>
      </c>
      <c r="L19" s="953">
        <f t="shared" si="4"/>
        <v>0</v>
      </c>
      <c r="M19" s="953">
        <f t="shared" si="4"/>
        <v>0</v>
      </c>
      <c r="N19" s="952">
        <f t="shared" si="4"/>
        <v>175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229</v>
      </c>
      <c r="AE19" s="957">
        <f t="shared" si="5"/>
        <v>0</v>
      </c>
      <c r="AF19" s="958">
        <f t="shared" si="5"/>
        <v>23</v>
      </c>
      <c r="AG19" s="958">
        <f t="shared" si="5"/>
        <v>0</v>
      </c>
      <c r="AH19" s="958">
        <f t="shared" si="5"/>
        <v>2916</v>
      </c>
      <c r="AI19" s="958">
        <f t="shared" si="5"/>
        <v>0</v>
      </c>
      <c r="AJ19" s="959">
        <f t="shared" si="5"/>
        <v>0</v>
      </c>
      <c r="AK19" s="959">
        <f t="shared" si="5"/>
        <v>0</v>
      </c>
      <c r="AL19" s="951">
        <f t="shared" si="5"/>
        <v>197</v>
      </c>
      <c r="AM19" s="951">
        <f t="shared" si="5"/>
        <v>491</v>
      </c>
      <c r="AN19" s="951">
        <f t="shared" si="5"/>
        <v>0</v>
      </c>
      <c r="AO19" s="951">
        <f t="shared" si="5"/>
        <v>0</v>
      </c>
      <c r="AP19" s="951">
        <f>IF(ISNUMBER(((Datos!L19/Datos!K19)*11)/factor_trimestre),((Datos!L19/Datos!K19)*11)/factor_trimestre," - ")</f>
        <v>6.8581043185642176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-0.21428571428571427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-1.9108280254777069E-2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16.165807537309522</v>
      </c>
      <c r="G21" s="737">
        <f>IF(ISNUMBER(STDEV(G8:G18)),STDEV(G8:G18),"-")</f>
        <v>16.165807537309522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113.16212558390137</v>
      </c>
      <c r="AM21" s="736"/>
      <c r="AN21" s="736">
        <f>IF(ISNUMBER(STDEV(AN8:AN18)),STDEV(AN8:AN18),"-")</f>
        <v>0</v>
      </c>
      <c r="AO21" s="742">
        <f>IF(ISNUMBER(STDEV(AO8:AO18)),STDEV(AO8:AO18),"-")</f>
        <v>0</v>
      </c>
      <c r="AP21" s="779">
        <f>IF(ISNUMBER(STDEV(AP8:AP18)),STDEV(AP8:AP18),"-")</f>
        <v>2.4146518352918376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g/XzNSFNZEPUgqeoXXhf6nqKHh9n3ojQbvy7lXXWdNLv36drOF7ir/5EXz3W09ViptLqIbbHFB6tfRU90DYbow==" saltValue="h70TbF0BvdefduOrzi2js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SANT FELIU DE GUIXOLS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oMqOIhtTH2a1HUlS2xPwY2Y9WPYfL/VgSL/IflmojCpPSwZKcFfiS1CPKg2+qIcbaA6e9ehC3xdu6feLdnjYdg==" saltValue="+H7sE8HnBZneIiCrCE88F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SANT FELIU DE GUIXOLS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2</v>
      </c>
      <c r="G10" s="404">
        <f>IF(ISNUMBER(F10/B10),F10/B10," - ")</f>
        <v>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196</v>
      </c>
      <c r="E12" s="404">
        <f t="shared" si="0"/>
        <v>65.333333333333329</v>
      </c>
      <c r="F12" s="403">
        <f>IF(ISNUMBER(Datos!N12),Datos!N12," - ")</f>
        <v>489</v>
      </c>
      <c r="G12" s="404">
        <f t="shared" si="1"/>
        <v>163</v>
      </c>
      <c r="H12" s="403">
        <f>IF(ISNUMBER(Datos!O12),Datos!O12," - ")</f>
        <v>458</v>
      </c>
      <c r="I12" s="404">
        <f t="shared" si="2"/>
        <v>152.66666666666666</v>
      </c>
      <c r="BZ12" s="1186">
        <f>Datos!EZ12</f>
        <v>0</v>
      </c>
    </row>
    <row r="13" spans="1:78" ht="14.25" thickTop="1" thickBot="1">
      <c r="A13" s="848" t="str">
        <f>Datos!A13</f>
        <v>TOTAL</v>
      </c>
      <c r="B13" s="849">
        <f>Datos!AP13</f>
        <v>3</v>
      </c>
      <c r="C13" s="851">
        <f>Datos!AR13</f>
        <v>3</v>
      </c>
      <c r="D13" s="849">
        <f>SUBTOTAL(9,D9:D12)</f>
        <v>197</v>
      </c>
      <c r="E13" s="850">
        <f t="shared" si="0"/>
        <v>65.666666666666671</v>
      </c>
      <c r="F13" s="849">
        <f>SUBTOTAL(9,F9:F12)</f>
        <v>491</v>
      </c>
      <c r="G13" s="850">
        <f t="shared" si="1"/>
        <v>163.66666666666666</v>
      </c>
      <c r="H13" s="849">
        <f>SUBTOTAL(9,H9:H12)</f>
        <v>460</v>
      </c>
      <c r="I13" s="850">
        <f>IF(ISNUMBER(H13/B13),H13/B13," - ")</f>
        <v>153.33333333333334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96</v>
      </c>
      <c r="E16" s="404">
        <f t="shared" si="3"/>
        <v>32</v>
      </c>
      <c r="F16" s="403">
        <f>IF(ISNUMBER(Datos!N16),Datos!N16," - ")</f>
        <v>423</v>
      </c>
      <c r="G16" s="404">
        <f t="shared" si="4"/>
        <v>141</v>
      </c>
      <c r="H16" s="403">
        <f>IF(ISNUMBER(Datos!O16),Datos!O16," - ")</f>
        <v>13</v>
      </c>
      <c r="I16" s="404">
        <f t="shared" si="5"/>
        <v>4.333333333333333</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37</v>
      </c>
      <c r="G17" s="404">
        <f>IF(ISNUMBER(F17/B17),F17/B17," - ")</f>
        <v>37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99</v>
      </c>
      <c r="E18" s="850">
        <f t="shared" si="3"/>
        <v>33</v>
      </c>
      <c r="F18" s="849">
        <f>SUBTOTAL(9,F15:F17)</f>
        <v>460</v>
      </c>
      <c r="G18" s="850">
        <f t="shared" si="4"/>
        <v>153.33333333333334</v>
      </c>
      <c r="H18" s="849">
        <f>SUBTOTAL(9,H15:H17)</f>
        <v>13</v>
      </c>
      <c r="I18" s="850">
        <f>IF(ISNUMBER(H18/B18),H18/B18," - ")</f>
        <v>4.333333333333333</v>
      </c>
      <c r="BZ18" s="1186"/>
    </row>
    <row r="19" spans="1:78" ht="14.25" thickTop="1" thickBot="1">
      <c r="A19" s="793" t="str">
        <f>Datos!A19</f>
        <v>TOTAL JURISDICCIONES</v>
      </c>
      <c r="B19" s="794">
        <f>Datos!AP19</f>
        <v>3</v>
      </c>
      <c r="C19" s="794">
        <f>Datos!AR19</f>
        <v>3</v>
      </c>
      <c r="D19" s="794">
        <f>SUBTOTAL(9,D8:D18)</f>
        <v>296</v>
      </c>
      <c r="E19" s="795">
        <f>IF(ISNUMBER(D19/B19),D19/B19," - ")</f>
        <v>98.666666666666671</v>
      </c>
      <c r="F19" s="794">
        <f>SUBTOTAL(9,F8:F18)</f>
        <v>951</v>
      </c>
      <c r="G19" s="795">
        <f>IF(ISNUMBER(F19/B19),F19/B19," - ")</f>
        <v>317</v>
      </c>
      <c r="H19" s="794">
        <f>SUBTOTAL(9,H8:H18)</f>
        <v>473</v>
      </c>
      <c r="I19" s="795">
        <f>IF(ISNUMBER(H19/B19),H19/B19," - ")</f>
        <v>157.66666666666666</v>
      </c>
    </row>
    <row r="22" spans="1:78">
      <c r="A22" s="391" t="str">
        <f>Criterios!A4</f>
        <v>Fecha Informe: 03 jun. 2025</v>
      </c>
    </row>
    <row r="27" spans="1:78">
      <c r="A27" s="414"/>
    </row>
  </sheetData>
  <sheetProtection algorithmName="SHA-512" hashValue="naCS+kfM+3wqExNXAc/T0rNXbFWircI/0olVsslQIizRg5lndn+T5m7yw64gMfzh/LttVMEtRdWB3DBdK6Prjg==" saltValue="fCDUXvX2nBX+2uXquyuxO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SANT FELIU DE GUIXOLS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1</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172</v>
      </c>
      <c r="C12" s="434">
        <f>IF(ISNUMBER(Datos!Q12),Datos!Q12," - ")</f>
        <v>229</v>
      </c>
      <c r="D12" s="408">
        <f>IF(ISNUMBER(Datos!R12),Datos!R12," - ")</f>
        <v>2916</v>
      </c>
    </row>
    <row r="13" spans="1:4" ht="14.25" thickTop="1" thickBot="1">
      <c r="A13" s="848" t="str">
        <f>Datos!A13</f>
        <v>TOTAL</v>
      </c>
      <c r="B13" s="849">
        <f>SUBTOTAL(9,B9:B12)</f>
        <v>175</v>
      </c>
      <c r="C13" s="853">
        <f>SUBTOTAL(9,C9:C12)</f>
        <v>230</v>
      </c>
      <c r="D13" s="851">
        <f>SUBTOTAL(9,D9:D12)</f>
        <v>2940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39</v>
      </c>
      <c r="C16" s="434">
        <f>IF(ISNUMBER(Datos!Q16),Datos!Q16," - ")</f>
        <v>44</v>
      </c>
      <c r="D16" s="408">
        <f>IF(ISNUMBER(Datos!R16),Datos!R16," - ")</f>
        <v>137</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39</v>
      </c>
      <c r="C18" s="853">
        <f>SUBTOTAL(9,C15:C17)</f>
        <v>44</v>
      </c>
      <c r="D18" s="851">
        <f>SUBTOTAL(9,D15:D17)</f>
        <v>140</v>
      </c>
    </row>
    <row r="19" spans="1:4" ht="16.5" customHeight="1" thickTop="1" thickBot="1">
      <c r="A19" s="793" t="str">
        <f>Datos!A19</f>
        <v>TOTAL JURISDICCIONES</v>
      </c>
      <c r="B19" s="798">
        <f>SUBTOTAL(9,B8:B18)</f>
        <v>214</v>
      </c>
      <c r="C19" s="799">
        <f>SUBTOTAL(9,C8:C18)</f>
        <v>274</v>
      </c>
      <c r="D19" s="800">
        <f>SUBTOTAL(9,D8:D18)</f>
        <v>3080</v>
      </c>
    </row>
    <row r="20" spans="1:4" ht="7.5" customHeight="1"/>
    <row r="21" spans="1:4" ht="6" customHeight="1"/>
    <row r="22" spans="1:4">
      <c r="A22" s="391" t="str">
        <f>Criterios!A4</f>
        <v>Fecha Informe: 03 jun. 2025</v>
      </c>
    </row>
    <row r="27" spans="1:4">
      <c r="A27" s="414"/>
    </row>
  </sheetData>
  <sheetProtection algorithmName="SHA-512" hashValue="LUwy7H/vv57knPfEZQAH+25LOp6rcDnv/pi7a7Ac0eOrLfJ7EZpBmgxIFulzT5cQnn/sbn8w4hVoSOgXv7SF5w==" saltValue="87GGMrn8LDk4HBXHne6g2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SANT FELIU DE GUIXOLS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-0.8571428571428571</v>
      </c>
      <c r="D10" s="456">
        <f>IF(ISNUMBER((Datos!K10-Datos!U10)/Datos!U10),(Datos!K10-Datos!U10)/Datos!U10," - ")</f>
        <v>0.2</v>
      </c>
      <c r="E10" s="456">
        <f>IF(ISNUMBER((Datos!L10-Datos!V10)/Datos!V10),(Datos!L10-Datos!V10)/Datos!V10," - ")</f>
        <v>-0.3783783783783784</v>
      </c>
      <c r="F10" s="456">
        <f>IF(ISNUMBER((Datos!M10-Datos!W10)/Datos!W10),(Datos!M10-Datos!W10)/Datos!W10," - ")</f>
        <v>0</v>
      </c>
      <c r="G10" s="457">
        <f>IF(ISNUMBER((Datos!N10-Datos!X10)/Datos!X10),(Datos!N10-Datos!X10)/Datos!X10," - ")</f>
        <v>-0.5</v>
      </c>
      <c r="H10" s="455">
        <f>IF(ISNUMBER(((NºAsuntos!G10/NºAsuntos!E10)-Datos!BD10)/Datos!BD10),((NºAsuntos!G10/NºAsuntos!E10)-Datos!BD10)/Datos!BD10," - ")</f>
        <v>7.3999999999999995</v>
      </c>
      <c r="I10" s="456">
        <f>IF(ISNUMBER(((NºAsuntos!I10/NºAsuntos!G10)-Datos!BE10)/Datos!BE10),((NºAsuntos!I10/NºAsuntos!G10)-Datos!BE10)/Datos!BE10," - ")</f>
        <v>-0.481981981981982</v>
      </c>
      <c r="J10" s="461">
        <f>IF(ISNUMBER((('Resol  Asuntos'!D10/NºAsuntos!G10)-Datos!BF10)/Datos!BF10),(('Resol  Asuntos'!D10/NºAsuntos!G10)-Datos!BF10)/Datos!BF10," - ")</f>
        <v>-0.16666666666666677</v>
      </c>
      <c r="K10" s="462">
        <f>IF(ISNUMBER((((NºAsuntos!C10+NºAsuntos!E10)/NºAsuntos!G10)-Datos!BG10)/Datos!BG10),(((NºAsuntos!C10+NºAsuntos!E10)/NºAsuntos!G10)-Datos!BG10)/Datos!BG10," - ")</f>
        <v>-0.42460317460317465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4.0798980025499365E-2</v>
      </c>
      <c r="C12" s="456">
        <f>IF(ISNUMBER(
   IF(J_V="SI",(Datos!J12-Datos!T12)/Datos!T12,(Datos!J12+Datos!Z12-(Datos!T12+Datos!AH12))/(Datos!T12+Datos!AH12))
     ),IF(J_V="SI",(Datos!J12-Datos!T12)/Datos!T12,(Datos!J12+Datos!Z12-(Datos!T12+Datos!AH12))/(Datos!T12+Datos!AH12))," - ")</f>
        <v>0.3316378433367243</v>
      </c>
      <c r="D12" s="456">
        <f>IF(ISNUMBER(
   IF(J_V="SI",(Datos!K12-Datos!U12)/Datos!U12,(Datos!K12+Datos!AA12-(Datos!U12+Datos!AI12))/(Datos!U12+Datos!AI12))
     ),IF(J_V="SI",(Datos!K12-Datos!U12)/Datos!U12,(Datos!K12+Datos!AA12-(Datos!U12+Datos!AI12))/(Datos!U12+Datos!AI12))," - ")</f>
        <v>0.34814814814814815</v>
      </c>
      <c r="E12" s="456">
        <f>IF(ISNUMBER(
   IF(J_V="SI",(Datos!L12-Datos!V12)/Datos!V12,(Datos!L12+Datos!AB12-(Datos!V12+Datos!AJ12))/(Datos!V12+Datos!AJ12))
     ),IF(J_V="SI",(Datos!L12-Datos!V12)/Datos!V12,(Datos!L12+Datos!AB12-(Datos!V12+Datos!AJ12))/(Datos!V12+Datos!AJ12))," - ")</f>
        <v>5.5841584158415843E-2</v>
      </c>
      <c r="F12" s="456">
        <f>IF(ISNUMBER((Datos!M12-Datos!W12)/Datos!W12),(Datos!M12-Datos!W12)/Datos!W12," - ")</f>
        <v>8.2872928176795577E-2</v>
      </c>
      <c r="G12" s="457">
        <f>IF(ISNUMBER((Datos!N12-Datos!X12)/Datos!X12),(Datos!N12-Datos!X12)/Datos!X12," - ")</f>
        <v>0.39714285714285713</v>
      </c>
      <c r="H12" s="455">
        <f>IF(ISNUMBER(((NºAsuntos!G12/NºAsuntos!E12)-Datos!BD12)/Datos!BD12),((NºAsuntos!G12/NºAsuntos!E12)-Datos!BD12)/Datos!BD12," - ")</f>
        <v>1.2398494751435936E-2</v>
      </c>
      <c r="I12" s="456">
        <f>IF(ISNUMBER(((NºAsuntos!I12/NºAsuntos!G12)-Datos!BE12)/Datos!BE12),((NºAsuntos!I12/NºAsuntos!G12)-Datos!BE12)/Datos!BE12," - ")</f>
        <v>-0.21682080295941678</v>
      </c>
      <c r="J12" s="461">
        <f>IF(ISNUMBER((('Resol  Asuntos'!D12/NºAsuntos!G12)-Datos!BF12)/Datos!BF12),(('Resol  Asuntos'!D12/NºAsuntos!G12)-Datos!BF12)/Datos!BF12," - ")</f>
        <v>-0.58461538461538465</v>
      </c>
      <c r="K12" s="462">
        <f>IF(ISNUMBER((((NºAsuntos!C12+NºAsuntos!E12)/NºAsuntos!G12)-Datos!BG12)/Datos!BG12),(((NºAsuntos!C12+NºAsuntos!E12)/NºAsuntos!G12)-Datos!BG12)/Datos!BG12," - ")</f>
        <v>-0.16441023005771205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3.7269681742043551E-2</v>
      </c>
      <c r="C13" s="855">
        <f>IF(ISNUMBER(
   IF(J_V="SI",(Datos!J13-Datos!T13)/Datos!T13,(Datos!J13+Datos!Z13-(Datos!T13+Datos!AH13))/(Datos!T13+Datos!AH13))
     ),IF(J_V="SI",(Datos!J13-Datos!T13)/Datos!T13,(Datos!J13+Datos!Z13-(Datos!T13+Datos!AH13))/(Datos!T13+Datos!AH13))," - ")</f>
        <v>0.32323232323232326</v>
      </c>
      <c r="D13" s="855">
        <f>IF(ISNUMBER(
   IF(J_V="SI",(Datos!K13-Datos!U13)/Datos!U13,(Datos!K13+Datos!AA13-(Datos!U13+Datos!AI13))/(Datos!U13+Datos!AI13))
     ),IF(J_V="SI",(Datos!K13-Datos!U13)/Datos!U13,(Datos!K13+Datos!AA13-(Datos!U13+Datos!AI13))/(Datos!U13+Datos!AI13))," - ")</f>
        <v>0.34723926380368098</v>
      </c>
      <c r="E13" s="855">
        <f>IF(ISNUMBER(
   IF(J_V="SI",(Datos!L13-Datos!V13)/Datos!V13,(Datos!L13+Datos!AB13-(Datos!V13+Datos!AJ13))/(Datos!V13+Datos!AJ13))
     ),IF(J_V="SI",(Datos!L13-Datos!V13)/Datos!V13,(Datos!L13+Datos!AB13-(Datos!V13+Datos!AJ13))/(Datos!V13+Datos!AJ13))," - ")</f>
        <v>4.9570647931303669E-2</v>
      </c>
      <c r="F13" s="856">
        <f>IF(ISNUMBER((Datos!M13-Datos!W13)/Datos!W13),(Datos!M13-Datos!W13)/Datos!W13," - ")</f>
        <v>8.2417582417582416E-2</v>
      </c>
      <c r="G13" s="857">
        <f>IF(ISNUMBER((Datos!N13-Datos!X13)/Datos!X13),(Datos!N13-Datos!X13)/Datos!X13," - ")</f>
        <v>0.38700564971751411</v>
      </c>
      <c r="H13" s="857">
        <f>IF(ISNUMBER(((NºAsuntos!G13/NºAsuntos!E13)-Datos!BD13)/Datos!BD13),((NºAsuntos!G13/NºAsuntos!E13)-Datos!BD13)/Datos!BD13," - ")</f>
        <v>1.8142649744766575E-2</v>
      </c>
      <c r="I13" s="857">
        <f>IF(ISNUMBER(((NºAsuntos!I13/NºAsuntos!G13)-Datos!BE13)/Datos!BE13),((NºAsuntos!I13/NºAsuntos!G13)-Datos!BE13)/Datos!BE13," - ")</f>
        <v>-0.22094710558833114</v>
      </c>
      <c r="J13" s="857">
        <f>IF(ISNUMBER((('Resol  Asuntos'!D13/NºAsuntos!G13)-Datos!BF13)/Datos!BF13),(('Resol  Asuntos'!D13/NºAsuntos!G13)-Datos!BF13)/Datos!BF13," - ")</f>
        <v>-0.58340468814057167</v>
      </c>
      <c r="K13" s="857">
        <f>IF(ISNUMBER((((NºAsuntos!C13+NºAsuntos!E13)/NºAsuntos!G13)-Datos!BG13)/Datos!BG13),(((NºAsuntos!C13+NºAsuntos!E13)/NºAsuntos!G13)-Datos!BG13)/Datos!BG13," - ")</f>
        <v>-0.16787048091098414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0.17181818181818181</v>
      </c>
      <c r="C16" s="456">
        <f>IF(ISNUMBER(
   IF(D_I="SI",(Datos!J16-Datos!T16)/Datos!T16,(Datos!J16+Datos!AD16-(Datos!T16+Datos!AL16))/(Datos!T16+Datos!AL16))
     ),IF(D_I="SI",(Datos!J16-Datos!T16)/Datos!T16,(Datos!J16+Datos!AD16-(Datos!T16+Datos!AL16))/(Datos!T16+Datos!AL16))," - ")</f>
        <v>-6.5642458100558659E-2</v>
      </c>
      <c r="D16" s="456">
        <f>IF(ISNUMBER(
   IF(D_I="SI",(Datos!K16-Datos!U16)/Datos!U16,(Datos!K16+Datos!AE16-(Datos!U16+Datos!AM16))/(Datos!U16+Datos!AM16))
     ),IF(D_I="SI",(Datos!K16-Datos!U16)/Datos!U16,(Datos!K16+Datos!AE16-(Datos!U16+Datos!AM16))/(Datos!U16+Datos!AM16))," - ")</f>
        <v>-5.8139534883720929E-2</v>
      </c>
      <c r="E16" s="456">
        <f>IF(ISNUMBER(
   IF(D_I="SI",(Datos!L16-Datos!V16)/Datos!V16,(Datos!L16+Datos!AF16-(Datos!V16+Datos!AN16))/(Datos!V16+Datos!AN16))
     ),IF(D_I="SI",(Datos!L16-Datos!V16)/Datos!V16,(Datos!L16+Datos!AF16-(Datos!V16+Datos!AN16))/(Datos!V16+Datos!AN16))," - ")</f>
        <v>0.16608084358523725</v>
      </c>
      <c r="F16" s="456">
        <f>IF(ISNUMBER((Datos!M16-Datos!W16)/Datos!W16),(Datos!M16-Datos!W16)/Datos!W16," - ")</f>
        <v>-0.19327731092436976</v>
      </c>
      <c r="G16" s="457">
        <f>IF(ISNUMBER((Datos!N16-Datos!X16)/Datos!X16),(Datos!N16-Datos!X16)/Datos!X16," - ")</f>
        <v>5.7500000000000002E-2</v>
      </c>
      <c r="H16" s="455">
        <f>IF(ISNUMBER(((NºAsuntos!G16/NºAsuntos!E16)-Datos!BD16)/Datos!BD16),((NºAsuntos!G16/NºAsuntos!E16)-Datos!BD16)/Datos!BD16," - ")</f>
        <v>8.0300344144332413E-3</v>
      </c>
      <c r="I16" s="456">
        <f>IF(ISNUMBER(((NºAsuntos!I16/NºAsuntos!G16)-Datos!BE16)/Datos!BE16),((NºAsuntos!I16/NºAsuntos!G16)-Datos!BE16)/Datos!BE16," - ")</f>
        <v>0.23806114257198019</v>
      </c>
      <c r="J16" s="461">
        <f>IF(ISNUMBER((('Resol  Asuntos'!D16/NºAsuntos!G16)-Datos!BF16)/Datos!BF16),(('Resol  Asuntos'!D16/NºAsuntos!G16)-Datos!BF16)/Datos!BF16," - ")</f>
        <v>-0.14347961406784943</v>
      </c>
      <c r="K16" s="462">
        <f>IF(ISNUMBER((((NºAsuntos!C16+NºAsuntos!E16)/NºAsuntos!G16)-Datos!BG16)/Datos!BG16),(((NºAsuntos!C16+NºAsuntos!E16)/NºAsuntos!G16)-Datos!BG16)/Datos!BG16," - ")</f>
        <v>0.14474900745091646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4.2857142857142858E-2</v>
      </c>
      <c r="C17" s="456">
        <f>IF(ISNUMBER(
   IF(D_I="SI",(Datos!J17-Datos!T17)/Datos!T17,(Datos!J17+Datos!AD17-(Datos!T17+Datos!AL17))/(Datos!T17+Datos!AL17))
     ),IF(D_I="SI",(Datos!J17-Datos!T17)/Datos!T17,(Datos!J17+Datos!AD17-(Datos!T17+Datos!AL17))/(Datos!T17+Datos!AL17))," - ")</f>
        <v>-0.14102564102564102</v>
      </c>
      <c r="D17" s="456">
        <f>IF(ISNUMBER(
   IF(D_I="SI",(Datos!K17-Datos!U17)/Datos!U17,(Datos!K17+Datos!AE17-(Datos!U17+Datos!AM17))/(Datos!U17+Datos!AM17))
     ),IF(D_I="SI",(Datos!K17-Datos!U17)/Datos!U17,(Datos!K17+Datos!AE17-(Datos!U17+Datos!AM17))/(Datos!U17+Datos!AM17))," - ")</f>
        <v>-6.8493150684931503E-2</v>
      </c>
      <c r="E17" s="456">
        <f>IF(ISNUMBER(
   IF(D_I="SI",(Datos!L17-Datos!V17)/Datos!V17,(Datos!L17+Datos!AF17-(Datos!V17+Datos!AN17))/(Datos!V17+Datos!AN17))
     ),IF(D_I="SI",(Datos!L17-Datos!V17)/Datos!V17,(Datos!L17+Datos!AF17-(Datos!V17+Datos!AN17))/(Datos!V17+Datos!AN17))," - ")</f>
        <v>-0.04</v>
      </c>
      <c r="F17" s="456">
        <f>IF(ISNUMBER((Datos!M17-Datos!W17)/Datos!W17),(Datos!M17-Datos!W17)/Datos!W17," - ")</f>
        <v>-0.25</v>
      </c>
      <c r="G17" s="457">
        <f>IF(ISNUMBER((Datos!N17-Datos!X17)/Datos!X17),(Datos!N17-Datos!X17)/Datos!X17," - ")</f>
        <v>-0.27450980392156865</v>
      </c>
      <c r="H17" s="455">
        <f>IF(ISNUMBER(((NºAsuntos!G17/NºAsuntos!E17)-Datos!BD17)/Datos!BD17),((NºAsuntos!G17/NºAsuntos!E17)-Datos!BD17)/Datos!BD17," - ")</f>
        <v>8.4440809650378285E-2</v>
      </c>
      <c r="I17" s="456">
        <f>IF(ISNUMBER(((NºAsuntos!I17/NºAsuntos!G17)-Datos!BE17)/Datos!BE17),((NºAsuntos!I17/NºAsuntos!G17)-Datos!BE17)/Datos!BE17," - ")</f>
        <v>3.0588235294117552E-2</v>
      </c>
      <c r="J17" s="461">
        <f>IF(ISNUMBER((('Resol  Asuntos'!D17/NºAsuntos!G17)-Datos!BF17)/Datos!BF17),(('Resol  Asuntos'!D17/NºAsuntos!G17)-Datos!BF17)/Datos!BF17," - ")</f>
        <v>-0.19485294117647048</v>
      </c>
      <c r="K17" s="462">
        <f>IF(ISNUMBER((((NºAsuntos!C17+NºAsuntos!E17)/NºAsuntos!G17)-Datos!BG17)/Datos!BG17),(((NºAsuntos!C17+NºAsuntos!E17)/NºAsuntos!G17)-Datos!BG17)/Datos!BG17," - ")</f>
        <v>1.550079491255946E-2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0.1641025641025641</v>
      </c>
      <c r="C18" s="855">
        <f>IF(ISNUMBER(
   IF(Criterios!B14="SI",(Datos!J18-Datos!T18)/Datos!T18,(Datos!J18+Datos!AD18-(Datos!T18+Datos!AL18))/(Datos!T18+Datos!AL18))
     ),IF(Criterios!B14="SI",(Datos!J18-Datos!T18)/Datos!T18,(Datos!J18+Datos!AD18-(Datos!T18+Datos!AL18))/(Datos!T18+Datos!AL18))," - ")</f>
        <v>-7.3047858942065488E-2</v>
      </c>
      <c r="D18" s="855">
        <f>IF(ISNUMBER(
   IF(Criterios!B14="SI",(Datos!K18-Datos!U18)/Datos!U18,(Datos!K18+Datos!AE18-(Datos!U18+Datos!AM18))/(Datos!U18+Datos!AM18))
     ),IF(Criterios!B14="SI",(Datos!K18-Datos!U18)/Datos!U18,(Datos!K18+Datos!AE18-(Datos!U18+Datos!AM18))/(Datos!U18+Datos!AM18))," - ")</f>
        <v>-5.9132720105124839E-2</v>
      </c>
      <c r="E18" s="855">
        <f>IF(ISNUMBER(
   IF(Criterios!B14="SI",(Datos!L18-Datos!V18)/Datos!V18,(Datos!L18+Datos!AF18-(Datos!V18+Datos!AN18))/(Datos!V18+Datos!AN18))
     ),IF(Criterios!B14="SI",(Datos!L18-Datos!V18)/Datos!V18,(Datos!L18+Datos!AF18-(Datos!V18+Datos!AN18))/(Datos!V18+Datos!AN18))," - ")</f>
        <v>0.15333882934872217</v>
      </c>
      <c r="F18" s="856">
        <f>IF(ISNUMBER((Datos!M18-Datos!W18)/Datos!W18),(Datos!M18-Datos!W18)/Datos!W18," - ")</f>
        <v>-0.1951219512195122</v>
      </c>
      <c r="G18" s="857">
        <f>IF(ISNUMBER((Datos!N18-Datos!X18)/Datos!X18),(Datos!N18-Datos!X18)/Datos!X18," - ")</f>
        <v>1.9955654101995565E-2</v>
      </c>
      <c r="H18" s="857">
        <f>IF(ISNUMBER(((NºAsuntos!G18/NºAsuntos!E18)-Datos!BD18)/Datos!BD18),((NºAsuntos!G18/NºAsuntos!E18)-Datos!BD18)/Datos!BD18," - ")</f>
        <v>1.5011712277895176E-2</v>
      </c>
      <c r="I18" s="857">
        <f>IF(ISNUMBER(((NºAsuntos!I18/NºAsuntos!G18)-Datos!BE18)/Datos!BE18),((NºAsuntos!I18/NºAsuntos!G18)-Datos!BE18)/Datos!BE18," - ")</f>
        <v>0.22582520828823685</v>
      </c>
      <c r="J18" s="857">
        <f>IF(ISNUMBER((('Resol  Asuntos'!D18/NºAsuntos!G18)-Datos!BF18)/Datos!BF18),(('Resol  Asuntos'!D18/NºAsuntos!G18)-Datos!BF18)/Datos!BF18," - ")</f>
        <v>-0.14453604033247033</v>
      </c>
      <c r="K18" s="857">
        <f>IF(ISNUMBER((((NºAsuntos!C18+NºAsuntos!E18)/NºAsuntos!G18)-Datos!BG18)/Datos!BG18),(((NºAsuntos!C18+NºAsuntos!E18)/NºAsuntos!G18)-Datos!BG18)/Datos!BG18," - ")</f>
        <v>0.13536534719930823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7.8976953344575607E-2</v>
      </c>
      <c r="C19" s="802">
        <f>IF(ISNUMBER(
   IF(J_V="SI",(Datos!J19-Datos!T19)/Datos!T19,(Datos!J19+Datos!Z19-(Datos!T19+Datos!AH19))/(Datos!T19+Datos!AH19))
     ),IF(J_V="SI",(Datos!J19-Datos!T19)/Datos!T19,(Datos!J19+Datos!Z19-(Datos!T19+Datos!AH19))/(Datos!T19+Datos!AH19))," - ")</f>
        <v>0.14686098654708521</v>
      </c>
      <c r="D19" s="802">
        <f>IF(ISNUMBER(
   IF(J_V="SI",(Datos!K19-Datos!U19)/Datos!U19,(Datos!K19+Datos!AA19-(Datos!U19+Datos!AI19))/(Datos!U19+Datos!AI19))
     ),IF(J_V="SI",(Datos!K19-Datos!U19)/Datos!U19,(Datos!K19+Datos!AA19-(Datos!U19+Datos!AI19))/(Datos!U19+Datos!AI19))," - ")</f>
        <v>0.15101522842639595</v>
      </c>
      <c r="E19" s="802">
        <f>IF(ISNUMBER(
   IF(J_V="SI",(Datos!L19-Datos!V19)/Datos!V19,(Datos!L19+Datos!AB19-(Datos!V19+Datos!AJ19))/(Datos!V19+Datos!AJ19))
     ),IF(J_V="SI",(Datos!L19-Datos!V19)/Datos!V19,(Datos!L19+Datos!AB19-(Datos!V19+Datos!AJ19))/(Datos!V19+Datos!AJ19))," - ")</f>
        <v>8.2913907284768218E-2</v>
      </c>
      <c r="F19" s="803">
        <f>IF(ISNUMBER((Datos!M19-Datos!W19)/Datos!W19),(Datos!M19-Datos!W19)/Datos!W19," - ")</f>
        <v>-2.9508196721311476E-2</v>
      </c>
      <c r="G19" s="804">
        <f>IF(ISNUMBER((Datos!N19-Datos!X19)/Datos!X19),(Datos!N19-Datos!X19)/Datos!X19," - ")</f>
        <v>0.1813664596273292</v>
      </c>
      <c r="H19" s="805">
        <f>IF(ISNUMBER((Tasas!B19-Datos!BD19)/Datos!BD19),(Tasas!B19-Datos!BD19)/Datos!BD19," - ")</f>
        <v>3.6222715115788559E-3</v>
      </c>
      <c r="I19" s="806">
        <f>IF(ISNUMBER((Tasas!C19-Datos!BE19)/Datos!BE19),(Tasas!C19-Datos!BE19)/Datos!BE19," - ")</f>
        <v>-5.9166307673211377E-2</v>
      </c>
      <c r="J19" s="807">
        <f>IF(ISNUMBER((Tasas!D19-Datos!BF19)/Datos!BF19),(Tasas!D19-Datos!BF19)/Datos!BF19," - ")</f>
        <v>-0.45745932945352369</v>
      </c>
      <c r="K19" s="807">
        <f>IF(ISNUMBER((Tasas!E19-Datos!BG19)/Datos!BG19),(Tasas!E19-Datos!BG19)/Datos!BG19," - ")</f>
        <v>-4.2890749059789929E-2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HmhkZMgLyHTA7WREBzKqTGD63BN5L+AcOaL8/kSDnzr1m9eJ/N1Rn+6p0CrIyyJWCRPTWzzpgqkdSitrKc2D3w==" saltValue="kjlkTOgo7Xvy0dRwyodT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SANT FELIU DE GUIXOLS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6</v>
      </c>
      <c r="C10" s="443">
        <f>IF(ISNUMBER(NºAsuntos!I10/NºAsuntos!G10),NºAsuntos!I10/NºAsuntos!G10," - ")</f>
        <v>3.8333333333333335</v>
      </c>
      <c r="D10" s="444">
        <f>IF(ISNUMBER('Resol  Asuntos'!D10/NºAsuntos!G10),'Resol  Asuntos'!D10/NºAsuntos!G10," - ")</f>
        <v>0.16666666666666666</v>
      </c>
      <c r="E10" s="445">
        <f>IF(ISNUMBER((NºAsuntos!C10+NºAsuntos!E10)/NºAsuntos!G10),(NºAsuntos!C10+NºAsuntos!E10)/NºAsuntos!G10," - ")</f>
        <v>4.833333333333333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0.83422459893048129</v>
      </c>
      <c r="C12" s="443">
        <f>IF(ISNUMBER(NºAsuntos!I12/NºAsuntos!G12),NºAsuntos!I12/NºAsuntos!G12," - ")</f>
        <v>2.4413919413919416</v>
      </c>
      <c r="D12" s="444">
        <f>IF(ISNUMBER('Resol  Asuntos'!D12/NºAsuntos!G12),'Resol  Asuntos'!D12/NºAsuntos!G12," - ")</f>
        <v>0.17948717948717949</v>
      </c>
      <c r="E12" s="445">
        <f>IF(ISNUMBER((NºAsuntos!C12+NºAsuntos!E12)/NºAsuntos!G12),(NºAsuntos!C12+NºAsuntos!E12)/NºAsuntos!G12," - ")</f>
        <v>3.4413919413919416</v>
      </c>
      <c r="G12" s="463"/>
    </row>
    <row r="13" spans="1:7" ht="14.25" thickTop="1" thickBot="1">
      <c r="A13" s="848" t="str">
        <f>Datos!A13</f>
        <v>TOTAL</v>
      </c>
      <c r="B13" s="858">
        <f>IF(ISNUMBER(NºAsuntos!G13/NºAsuntos!E13),NºAsuntos!G13/NºAsuntos!E13," - ")</f>
        <v>0.83816793893129771</v>
      </c>
      <c r="C13" s="859">
        <f>IF(ISNUMBER(NºAsuntos!I13/NºAsuntos!G13),NºAsuntos!I13/NºAsuntos!G13," - ")</f>
        <v>2.448998178506375</v>
      </c>
      <c r="D13" s="860">
        <f>IF(ISNUMBER('Resol  Asuntos'!D13/NºAsuntos!G13),'Resol  Asuntos'!D13/NºAsuntos!G13," - ")</f>
        <v>0.17941712204007285</v>
      </c>
      <c r="E13" s="861">
        <f>IF(ISNUMBER((NºAsuntos!C13+NºAsuntos!E13)/NºAsuntos!G13),(NºAsuntos!C13+NºAsuntos!E13)/NºAsuntos!G13," - ")</f>
        <v>3.448998178506375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0.96860986547085204</v>
      </c>
      <c r="C16" s="443">
        <f>IF(ISNUMBER(NºAsuntos!I16/NºAsuntos!G16),NºAsuntos!I16/NºAsuntos!G16," - ")</f>
        <v>2.0478395061728394</v>
      </c>
      <c r="D16" s="444">
        <f>IF(ISNUMBER('Resol  Asuntos'!D16/NºAsuntos!G16),'Resol  Asuntos'!D16/NºAsuntos!G16," - ")</f>
        <v>0.14814814814814814</v>
      </c>
      <c r="E16" s="445">
        <f>IF(ISNUMBER((NºAsuntos!C16+NºAsuntos!E16)/NºAsuntos!G16),(NºAsuntos!C16+NºAsuntos!E16)/NºAsuntos!G16," - ")</f>
        <v>3.0216049382716048</v>
      </c>
      <c r="G16" s="463"/>
    </row>
    <row r="17" spans="1:7" ht="13.5" thickBot="1">
      <c r="A17" s="402" t="str">
        <f>Datos!A17</f>
        <v>Jdos. Violencia contra la mujer</v>
      </c>
      <c r="B17" s="442">
        <f>IF(ISNUMBER(NºAsuntos!G17/NºAsuntos!E17),NºAsuntos!G17/NºAsuntos!E17," - ")</f>
        <v>1.0149253731343284</v>
      </c>
      <c r="C17" s="443">
        <f>IF(ISNUMBER(NºAsuntos!I17/NºAsuntos!G17),NºAsuntos!I17/NºAsuntos!G17," - ")</f>
        <v>1.0588235294117647</v>
      </c>
      <c r="D17" s="444">
        <f>IF(ISNUMBER('Resol  Asuntos'!D17/NºAsuntos!G17),'Resol  Asuntos'!D17/NºAsuntos!G17," - ")</f>
        <v>4.4117647058823532E-2</v>
      </c>
      <c r="E17" s="445">
        <f>IF(ISNUMBER((NºAsuntos!C17+NºAsuntos!E17)/NºAsuntos!G17),(NºAsuntos!C17+NºAsuntos!E17)/NºAsuntos!G17," - ")</f>
        <v>2.0588235294117645</v>
      </c>
      <c r="G17" s="463"/>
    </row>
    <row r="18" spans="1:7" ht="14.25" thickTop="1" thickBot="1">
      <c r="A18" s="848" t="str">
        <f>Datos!A18</f>
        <v>TOTAL</v>
      </c>
      <c r="B18" s="858">
        <f>IF(ISNUMBER(NºAsuntos!G18/NºAsuntos!E18),NºAsuntos!G18/NºAsuntos!E18," - ")</f>
        <v>0.97282608695652173</v>
      </c>
      <c r="C18" s="859">
        <f>IF(ISNUMBER(NºAsuntos!I18/NºAsuntos!G18),NºAsuntos!I18/NºAsuntos!G18," - ")</f>
        <v>1.9539106145251397</v>
      </c>
      <c r="D18" s="862">
        <f>IF(ISNUMBER('Resol  Asuntos'!D18/NºAsuntos!G18),'Resol  Asuntos'!D18/NºAsuntos!G18," - ")</f>
        <v>0.13826815642458101</v>
      </c>
      <c r="E18" s="861">
        <f>IF(ISNUMBER((NºAsuntos!C18+NºAsuntos!E18)/NºAsuntos!G18),(NºAsuntos!C18+NºAsuntos!E18)/NºAsuntos!G18," - ")</f>
        <v>2.930167597765363</v>
      </c>
      <c r="G18" s="463"/>
    </row>
    <row r="19" spans="1:7" ht="15.75" customHeight="1" thickTop="1" thickBot="1">
      <c r="A19" s="793" t="str">
        <f>Datos!A19</f>
        <v>TOTAL JURISDICCIONES</v>
      </c>
      <c r="B19" s="808">
        <f>IF(ISNUMBER(NºAsuntos!G19/NºAsuntos!E19),NºAsuntos!G19/NºAsuntos!E19," - ")</f>
        <v>0.88660801564027369</v>
      </c>
      <c r="C19" s="809">
        <f>IF(ISNUMBER(NºAsuntos!I19/NºAsuntos!G19),NºAsuntos!I19/NºAsuntos!G19," - ")</f>
        <v>2.2535832414553472</v>
      </c>
      <c r="D19" s="810">
        <f>IF(ISNUMBER('Resol  Asuntos'!D19/NºAsuntos!G19),'Resol  Asuntos'!D19/NºAsuntos!G19," - ")</f>
        <v>0.1631753031973539</v>
      </c>
      <c r="E19" s="811">
        <f>IF(ISNUMBER((NºAsuntos!C19+NºAsuntos!E19)/NºAsuntos!G19),(NºAsuntos!C19+NºAsuntos!E19)/NºAsuntos!G19," - ")</f>
        <v>3.2442116868798236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hcE2TJrFAQjeiFI96y8nLlLGnMSa9IbbUt0E2EKgbUzN1SeHyFxD4dfMB7xYv3/YA5XJSjGP+25Ire2trA7Tg==" saltValue="LXrdRXJZr8Y+i0aoMg0j4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SANT FELIU DE GUIXOLS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28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1</v>
      </c>
      <c r="Y10" s="334">
        <f t="shared" ref="Y10:Y12" si="0">SUM(W10:X10)</f>
        <v>7</v>
      </c>
      <c r="Z10" s="335" t="str">
        <f>IF(ISNUMBER(Datos!CC10),Datos!CC10," - ")</f>
        <v xml:space="preserve"> - </v>
      </c>
      <c r="AA10" s="332">
        <f>IF(ISNUMBER(Datos!L10),Datos!L10,"-")</f>
        <v>23</v>
      </c>
      <c r="AB10" s="334">
        <f>IF(ISNUMBER(Datos!R10),Datos!R10," - ")</f>
        <v>24</v>
      </c>
      <c r="AC10" s="334">
        <f t="shared" ref="AC10:AC12" si="1">IF(ISNUMBER(AA10+AB10),AA10+AB10," - ")</f>
        <v>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6</v>
      </c>
      <c r="AM10" s="260">
        <f>IF(ISNUMBER(((NºAsuntos!I10/NºAsuntos!G10)*11)/factor_trimestre),((NºAsuntos!I10/NºAsuntos!G10)*11)/factor_trimestre," - ")</f>
        <v>11.500000000000002</v>
      </c>
      <c r="AN10" s="244">
        <f>IF(ISNUMBER('Resol  Asuntos'!D10/NºAsuntos!G10),'Resol  Asuntos'!D10/NºAsuntos!G10," - ")</f>
        <v>0.16666666666666666</v>
      </c>
      <c r="AO10" s="245">
        <f>IF(ISNUMBER((NºAsuntos!C10+NºAsuntos!E10)/NºAsuntos!G10),(NºAsuntos!C10+NºAsuntos!E10)/NºAsuntos!G10," - ")</f>
        <v>4.833333333333333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229</v>
      </c>
      <c r="Y12" s="334">
        <f t="shared" si="0"/>
        <v>229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2916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196</v>
      </c>
      <c r="AJ12" s="229" t="str">
        <f>IF(ISNUMBER(Datos!BW12),Datos!BW12," - ")</f>
        <v xml:space="preserve"> - </v>
      </c>
      <c r="AK12" s="228" t="str">
        <f>IF(ISNUMBER(Datos!BX12),Datos!BX12," - ")</f>
        <v xml:space="preserve"> - </v>
      </c>
      <c r="AL12" s="243">
        <f>IF(ISNUMBER(NºAsuntos!G12/NºAsuntos!E12),NºAsuntos!G12/NºAsuntos!E12," - ")</f>
        <v>0.83422459893048129</v>
      </c>
      <c r="AM12" s="260">
        <f>IF(ISNUMBER(((NºAsuntos!I12/NºAsuntos!G12)*11)/factor_trimestre),((NºAsuntos!I12/NºAsuntos!G12)*11)/factor_trimestre," - ")</f>
        <v>7.3241758241758248</v>
      </c>
      <c r="AN12" s="244">
        <f>IF(ISNUMBER('Resol  Asuntos'!D12/NºAsuntos!G12),'Resol  Asuntos'!D12/NºAsuntos!G12," - ")</f>
        <v>0.17948717948717949</v>
      </c>
      <c r="AO12" s="245">
        <f>IF(ISNUMBER((NºAsuntos!C12+NºAsuntos!E12)/NºAsuntos!G12),(NºAsuntos!C12+NºAsuntos!E12)/NºAsuntos!G12," - ")</f>
        <v>3.4413919413919416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28</v>
      </c>
      <c r="G13" s="866">
        <f t="shared" si="3"/>
        <v>28</v>
      </c>
      <c r="H13" s="865">
        <f t="shared" si="3"/>
        <v>0</v>
      </c>
      <c r="I13" s="867">
        <f t="shared" si="3"/>
        <v>0</v>
      </c>
      <c r="J13" s="867">
        <f t="shared" si="3"/>
        <v>0</v>
      </c>
      <c r="K13" s="867">
        <f t="shared" si="3"/>
        <v>0</v>
      </c>
      <c r="L13" s="867">
        <f t="shared" si="3"/>
        <v>175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230</v>
      </c>
      <c r="Y13" s="868">
        <f t="shared" si="4"/>
        <v>236</v>
      </c>
      <c r="Z13" s="868">
        <f t="shared" si="4"/>
        <v>0</v>
      </c>
      <c r="AA13" s="868">
        <f t="shared" si="4"/>
        <v>23</v>
      </c>
      <c r="AB13" s="868">
        <f t="shared" si="4"/>
        <v>2940</v>
      </c>
      <c r="AC13" s="868">
        <f t="shared" si="4"/>
        <v>47</v>
      </c>
      <c r="AD13" s="868">
        <f t="shared" si="4"/>
        <v>0</v>
      </c>
      <c r="AE13" s="872">
        <f t="shared" si="4"/>
        <v>0</v>
      </c>
      <c r="AF13" s="865">
        <f t="shared" si="4"/>
        <v>0</v>
      </c>
      <c r="AG13" s="873">
        <f t="shared" si="4"/>
        <v>0</v>
      </c>
      <c r="AH13" s="870">
        <f t="shared" si="4"/>
        <v>0</v>
      </c>
      <c r="AI13" s="865">
        <f t="shared" si="4"/>
        <v>197</v>
      </c>
      <c r="AJ13" s="867">
        <f t="shared" si="4"/>
        <v>0</v>
      </c>
      <c r="AK13" s="870">
        <f>SUBTOTAL(9,AK9:AK12)</f>
        <v>0</v>
      </c>
      <c r="AL13" s="874">
        <f>IF(ISNUMBER(NºAsuntos!G13/NºAsuntos!E13),NºAsuntos!G13/NºAsuntos!E13," - ")</f>
        <v>0.83816793893129771</v>
      </c>
      <c r="AM13" s="874">
        <f>IF(ISNUMBER(((NºAsuntos!I13/NºAsuntos!G13)*11)/factor_trimestre),((NºAsuntos!I13/NºAsuntos!G13)*11)/factor_trimestre," - ")</f>
        <v>7.3469945355191255</v>
      </c>
      <c r="AN13" s="875">
        <f>IF(ISNUMBER('Resol  Asuntos'!D13/NºAsuntos!G13),'Resol  Asuntos'!D13/NºAsuntos!G13," - ")</f>
        <v>0.17941712204007285</v>
      </c>
      <c r="AO13" s="876">
        <f>IF(ISNUMBER((NºAsuntos!C13+NºAsuntos!E13)/NºAsuntos!G13),(NºAsuntos!C13+NºAsuntos!E13)/NºAsuntos!G13," - ")</f>
        <v>3.448998178506375</v>
      </c>
      <c r="AP13" s="877" t="str">
        <f t="shared" si="2"/>
        <v xml:space="preserve"> - </v>
      </c>
      <c r="AQ13" s="877">
        <f>IF(ISNUMBER((H13-W13+K13)/(F13)),(H13-W13+K13)/(F13)," - ")</f>
        <v>-0.21428571428571427</v>
      </c>
      <c r="AR13" s="878">
        <f>IF(ISNUMBER((Datos!P13-Datos!Q13)/(Datos!R13-Datos!P13+Datos!Q13)),(Datos!P13-Datos!Q13)/(Datos!R13-Datos!P13+Datos!Q13)," - ")</f>
        <v>-1.8363939899833055E-2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1306</v>
      </c>
      <c r="G16" s="333">
        <f>IF(ISNUMBER(IF(D_I="SI",Datos!I16,Datos!I16+Datos!AC16)),IF(D_I="SI",Datos!I16,Datos!I16+Datos!AC16)," - ")</f>
        <v>1289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648</v>
      </c>
      <c r="X16" s="226">
        <f>IF(ISNUMBER(Datos!Q16),Datos!Q16," - ")</f>
        <v>44</v>
      </c>
      <c r="Y16" s="334">
        <f t="shared" ref="Y16:Y17" si="7">SUM(W16:X16)</f>
        <v>692</v>
      </c>
      <c r="Z16" s="335" t="str">
        <f>IF(ISNUMBER(Datos!CC16),Datos!CC16," - ")</f>
        <v xml:space="preserve"> - </v>
      </c>
      <c r="AA16" s="332">
        <f>IF(ISNUMBER(IF(D_I="SI",Datos!L16,Datos!L16+Datos!AF16)),IF(D_I="SI",Datos!L16,Datos!L16+Datos!AF16)," - ")</f>
        <v>1327</v>
      </c>
      <c r="AB16" s="334">
        <f>IF(ISNUMBER(Datos!R16),Datos!R16," - ")</f>
        <v>137</v>
      </c>
      <c r="AC16" s="334">
        <f t="shared" si="6"/>
        <v>1464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96</v>
      </c>
      <c r="AJ16" s="231" t="str">
        <f>IF(ISNUMBER(Datos!BW16),Datos!BW16," - ")</f>
        <v xml:space="preserve"> - </v>
      </c>
      <c r="AK16" s="232" t="str">
        <f>IF(ISNUMBER(Datos!BX16),Datos!BX16," - ")</f>
        <v xml:space="preserve"> - </v>
      </c>
      <c r="AL16" s="243">
        <f>IF(ISNUMBER(NºAsuntos!G16/NºAsuntos!E16),NºAsuntos!G16/NºAsuntos!E16," - ")</f>
        <v>0.96860986547085204</v>
      </c>
      <c r="AM16" s="260">
        <f>IF(ISNUMBER(((NºAsuntos!I16/NºAsuntos!G16)*11)/factor_trimestre),((NºAsuntos!I16/NºAsuntos!G16)*11)/factor_trimestre," - ")</f>
        <v>6.143518518518519</v>
      </c>
      <c r="AN16" s="244">
        <f>IF(ISNUMBER('Resol  Asuntos'!D16/NºAsuntos!G16),'Resol  Asuntos'!D16/NºAsuntos!G16," - ")</f>
        <v>0.14814814814814814</v>
      </c>
      <c r="AO16" s="245">
        <f>IF(ISNUMBER((NºAsuntos!C16+NºAsuntos!E16)/NºAsuntos!G16),(NºAsuntos!C16+NºAsuntos!E16)/NºAsuntos!G16," - ")</f>
        <v>3.0216049382716048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v>
      </c>
      <c r="X17" s="226">
        <f>IF(ISNUMBER(Datos!Q17),Datos!Q17," - ")</f>
        <v>0</v>
      </c>
      <c r="Y17" s="334">
        <f t="shared" si="7"/>
        <v>68</v>
      </c>
      <c r="Z17" s="335" t="str">
        <f>IF(ISNUMBER(Datos!CC17),Datos!CC17," - ")</f>
        <v xml:space="preserve"> - </v>
      </c>
      <c r="AA17" s="332">
        <f>IF(ISNUMBER(Datos!L17),Datos!L17,"-")</f>
        <v>72</v>
      </c>
      <c r="AB17" s="334">
        <f>IF(ISNUMBER(Datos!R17),Datos!R17," - ")</f>
        <v>3</v>
      </c>
      <c r="AC17" s="334">
        <f t="shared" si="6"/>
        <v>75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1.0149253731343284</v>
      </c>
      <c r="AM17" s="260">
        <f>IF(ISNUMBER(((NºAsuntos!I17/NºAsuntos!G17)*11)/factor_trimestre),((NºAsuntos!I17/NºAsuntos!G17)*11)/factor_trimestre," - ")</f>
        <v>3.1764705882352939</v>
      </c>
      <c r="AN17" s="244">
        <f>IF(ISNUMBER('Resol  Asuntos'!D17/NºAsuntos!G17),'Resol  Asuntos'!D17/NºAsuntos!G17," - ")</f>
        <v>4.4117647058823532E-2</v>
      </c>
      <c r="AO17" s="245">
        <f>IF(ISNUMBER((NºAsuntos!C17+NºAsuntos!E17)/NºAsuntos!G17),(NºAsuntos!C17+NºAsuntos!E17)/NºAsuntos!G17," - ")</f>
        <v>2.0588235294117645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1306</v>
      </c>
      <c r="G18" s="866">
        <f>SUBTOTAL(9,G15:G17)</f>
        <v>1362</v>
      </c>
      <c r="H18" s="865">
        <f t="shared" ref="H18:O18" si="10">SUBTOTAL(9,H14:H17)</f>
        <v>0</v>
      </c>
      <c r="I18" s="867">
        <f t="shared" si="10"/>
        <v>0</v>
      </c>
      <c r="J18" s="867">
        <f t="shared" si="10"/>
        <v>0</v>
      </c>
      <c r="K18" s="867">
        <f t="shared" si="10"/>
        <v>0</v>
      </c>
      <c r="L18" s="867">
        <f t="shared" si="10"/>
        <v>39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716</v>
      </c>
      <c r="X18" s="867">
        <f t="shared" si="11"/>
        <v>44</v>
      </c>
      <c r="Y18" s="868">
        <f t="shared" si="11"/>
        <v>760</v>
      </c>
      <c r="Z18" s="868">
        <f t="shared" si="11"/>
        <v>0</v>
      </c>
      <c r="AA18" s="868">
        <f t="shared" si="11"/>
        <v>1399</v>
      </c>
      <c r="AB18" s="868">
        <f t="shared" si="11"/>
        <v>140</v>
      </c>
      <c r="AC18" s="868">
        <f t="shared" si="11"/>
        <v>1539</v>
      </c>
      <c r="AD18" s="868">
        <f t="shared" si="11"/>
        <v>0</v>
      </c>
      <c r="AE18" s="872">
        <f t="shared" si="11"/>
        <v>0</v>
      </c>
      <c r="AF18" s="865">
        <f t="shared" si="11"/>
        <v>0</v>
      </c>
      <c r="AG18" s="873">
        <f t="shared" si="11"/>
        <v>0</v>
      </c>
      <c r="AH18" s="870">
        <f t="shared" si="11"/>
        <v>0</v>
      </c>
      <c r="AI18" s="865">
        <f t="shared" si="11"/>
        <v>99</v>
      </c>
      <c r="AJ18" s="867">
        <f t="shared" si="11"/>
        <v>0</v>
      </c>
      <c r="AK18" s="870">
        <f t="shared" si="11"/>
        <v>0</v>
      </c>
      <c r="AL18" s="874">
        <f>IF(ISNUMBER(NºAsuntos!G18/NºAsuntos!E18),NºAsuntos!G18/NºAsuntos!E18," - ")</f>
        <v>0.97282608695652173</v>
      </c>
      <c r="AM18" s="874">
        <f>IF(ISNUMBER(((NºAsuntos!I18/NºAsuntos!G18)*11)/factor_trimestre),((NºAsuntos!I18/NºAsuntos!G18)*11)/factor_trimestre," - ")</f>
        <v>5.86173184357542</v>
      </c>
      <c r="AN18" s="875">
        <f>IF(ISNUMBER('Resol  Asuntos'!D18/NºAsuntos!G18),'Resol  Asuntos'!D18/NºAsuntos!G18," - ")</f>
        <v>0.13826815642458101</v>
      </c>
      <c r="AO18" s="876">
        <f>IF(ISNUMBER((NºAsuntos!C18+NºAsuntos!E18)/NºAsuntos!G18),(NºAsuntos!C18+NºAsuntos!E18)/NºAsuntos!G18," - ")</f>
        <v>2.930167597765363</v>
      </c>
      <c r="AP18" s="877" t="str">
        <f t="shared" si="2"/>
        <v xml:space="preserve"> - </v>
      </c>
      <c r="AQ18" s="877">
        <f>IF(ISNUMBER((H18-W18+K18)/(F18)),(H18-W18+K18)/(F18)," - ")</f>
        <v>-0.5482388973966309</v>
      </c>
      <c r="AR18" s="878">
        <f>IF(ISNUMBER((Datos!P18-Datos!Q18)/(Datos!R18-Datos!P18+Datos!Q18)),(Datos!P18-Datos!Q18)/(Datos!R18-Datos!P18+Datos!Q18)," - ")</f>
        <v>-3.4482758620689655E-2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1334</v>
      </c>
      <c r="G19" s="821">
        <f t="shared" si="13"/>
        <v>1390</v>
      </c>
      <c r="H19" s="820">
        <f t="shared" si="13"/>
        <v>0</v>
      </c>
      <c r="I19" s="822">
        <f t="shared" si="13"/>
        <v>0</v>
      </c>
      <c r="J19" s="822">
        <f t="shared" si="13"/>
        <v>0</v>
      </c>
      <c r="K19" s="881">
        <f t="shared" si="13"/>
        <v>0</v>
      </c>
      <c r="L19" s="822">
        <f t="shared" si="13"/>
        <v>214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722</v>
      </c>
      <c r="X19" s="821">
        <f t="shared" si="14"/>
        <v>274</v>
      </c>
      <c r="Y19" s="828">
        <f t="shared" si="14"/>
        <v>996</v>
      </c>
      <c r="Z19" s="828">
        <f t="shared" si="14"/>
        <v>0</v>
      </c>
      <c r="AA19" s="828">
        <f t="shared" si="14"/>
        <v>1422</v>
      </c>
      <c r="AB19" s="828">
        <f t="shared" si="14"/>
        <v>3080</v>
      </c>
      <c r="AC19" s="828">
        <f t="shared" si="14"/>
        <v>1586</v>
      </c>
      <c r="AD19" s="828">
        <f t="shared" si="14"/>
        <v>0</v>
      </c>
      <c r="AE19" s="830">
        <f t="shared" si="14"/>
        <v>0</v>
      </c>
      <c r="AF19" s="831">
        <f t="shared" si="14"/>
        <v>0</v>
      </c>
      <c r="AG19" s="832">
        <f t="shared" si="14"/>
        <v>0</v>
      </c>
      <c r="AH19" s="830">
        <f t="shared" si="14"/>
        <v>0</v>
      </c>
      <c r="AI19" s="820">
        <f t="shared" si="14"/>
        <v>296</v>
      </c>
      <c r="AJ19" s="820">
        <f t="shared" si="14"/>
        <v>0</v>
      </c>
      <c r="AK19" s="830">
        <f t="shared" si="14"/>
        <v>0</v>
      </c>
      <c r="AL19" s="884">
        <f>IF(ISNUMBER(NºAsuntos!G19/NºAsuntos!E19),NºAsuntos!G19/NºAsuntos!E19," - ")</f>
        <v>0.88660801564027369</v>
      </c>
      <c r="AM19" s="885">
        <f>IF(ISNUMBER(((NºAsuntos!I19/NºAsuntos!G19)*11)/factor_trimestre),((NºAsuntos!I19/NºAsuntos!G19)*11)/factor_trimestre," - ")</f>
        <v>6.7607497243660424</v>
      </c>
      <c r="AN19" s="885">
        <f>IF(ISNUMBER('Resol  Asuntos'!D19/NºAsuntos!G19),'Resol  Asuntos'!D19/NºAsuntos!G19," - ")</f>
        <v>0.1631753031973539</v>
      </c>
      <c r="AO19" s="886">
        <f>IF(ISNUMBER((NºAsuntos!C19+NºAsuntos!E19)/NºAsuntos!G19),(NºAsuntos!C19+NºAsuntos!E19)/NºAsuntos!G19," - ")</f>
        <v>3.2442116868798236</v>
      </c>
      <c r="AP19" s="887" t="str">
        <f t="shared" si="2"/>
        <v xml:space="preserve"> - </v>
      </c>
      <c r="AQ19" s="888">
        <f>IF(OR(ISNUMBER(FIND("01",Criterios!A8,1)),ISNUMBER(FIND("02",Criterios!A8,1)),ISNUMBER(FIND("03",Criterios!A8,1)),ISNUMBER(FIND("04",Criterios!A8,1))),(I19-W19+K19)/(F19-K19),(H19-W19+K19)/(F19-K19))</f>
        <v>-0.54122938530734632</v>
      </c>
      <c r="AR19" s="889">
        <f>IF(ISNUMBER((Datos!P19-Datos!Q19)/(Datos!R19-Datos!P19+Datos!Q19)),(Datos!P19-Datos!Q19)/(Datos!R19-Datos!P19+Datos!Q19)," - ")</f>
        <v>-1.9108280254777069E-2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737.85364402434175</v>
      </c>
      <c r="G21" s="253">
        <f>IF(ISNUMBER(STDEV(G8:G18)),STDEV(G8:G18),"-")</f>
        <v>703.16818756254895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360.63444095094411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86.995785338524684</v>
      </c>
      <c r="AJ21" s="252">
        <f t="shared" si="18"/>
        <v>0</v>
      </c>
      <c r="AK21" s="254">
        <f t="shared" si="18"/>
        <v>0</v>
      </c>
      <c r="AL21" s="249">
        <f t="shared" si="18"/>
        <v>2.0729073258150703</v>
      </c>
      <c r="AM21" s="250">
        <f t="shared" si="18"/>
        <v>2.722289317831609</v>
      </c>
      <c r="AN21" s="250">
        <f t="shared" si="18"/>
        <v>5.1075722407170954E-2</v>
      </c>
      <c r="AO21" s="251">
        <f t="shared" si="18"/>
        <v>0.9107560715224241</v>
      </c>
      <c r="AP21" s="291" t="str">
        <f t="shared" si="18"/>
        <v>-</v>
      </c>
      <c r="AQ21" s="292">
        <f t="shared" si="18"/>
        <v>0.23614056037656189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0ICet0woQXFXStIMqN0oDUKOXPTFeumHee665zvHgmAb0oM4/tt54EWgPlqZKBt3S2KfhWj9E8qRRbzewCU5Ew==" saltValue="S1YYLT2UufMRt61bgywLI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SANT FELIU DE GUIXOLS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-0.8571428571428571</v>
      </c>
      <c r="F10" s="348">
        <f>IF(ISNUMBER((Datos!K10-Datos!U10)/Datos!U10),(Datos!K10-Datos!U10)/Datos!U10," - ")</f>
        <v>0.2</v>
      </c>
      <c r="G10" s="349">
        <f>IF(ISNUMBER((Datos!L10-Datos!V10)/Datos!V10),(Datos!L10-Datos!V10)/Datos!V10," - ")</f>
        <v>-0.3783783783783784</v>
      </c>
      <c r="H10" s="230">
        <f>IF(ISNUMBER((Datos!M10-Datos!W10)/Datos!W10),(Datos!M10-Datos!W10)/Datos!W10," - ")</f>
        <v>0</v>
      </c>
      <c r="I10" s="350">
        <f>IF(ISNUMBER((Tasas!C10-Datos!BE10)/Datos!BE10),(Tasas!C10-Datos!BE10)/Datos!BE10," - ")</f>
        <v>-0.481981981981982</v>
      </c>
      <c r="J10" s="349">
        <f>IF(ISNUMBER((Tasas!D10-Datos!BF10)/Datos!BF10),(Tasas!D10-Datos!BF10)/Datos!BF10," - ")</f>
        <v>-0.16666666666666677</v>
      </c>
      <c r="K10" s="351">
        <f>IF(ISNUMBER((Tasas!E10-Datos!BG10)/Datos!BG10),(Tasas!E10-Datos!BG10)/Datos!BG10," - ")</f>
        <v>-0.42460317460317465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8.2872928176795577E-2</v>
      </c>
      <c r="I12" s="350">
        <f>IF(ISNUMBER((Tasas!C12-Datos!BE12)/Datos!BE12),(Tasas!C12-Datos!BE12)/Datos!BE12," - ")</f>
        <v>-0.21682080295941678</v>
      </c>
      <c r="J12" s="349">
        <f>IF(ISNUMBER((Tasas!D12-Datos!BF12)/Datos!BF12),(Tasas!D12-Datos!BF12)/Datos!BF12," - ")</f>
        <v>-0.58461538461538465</v>
      </c>
      <c r="K12" s="351">
        <f>IF(ISNUMBER((Tasas!E12-Datos!BG12)/Datos!BG12),(Tasas!E12-Datos!BG12)/Datos!BG12," - ")</f>
        <v>-0.16441023005771205</v>
      </c>
      <c r="M12" t="e">
        <f>IF(Monitorios="SI",Datos!CE12,0)</f>
        <v>#REF!</v>
      </c>
      <c r="N12" t="e">
        <f>IF(Monitorios="SI",Datos!CF12,0)</f>
        <v>#REF!</v>
      </c>
      <c r="O12" t="e">
        <f>IF(Monitorios="SI",Datos!CG12,0)</f>
        <v>#REF!</v>
      </c>
      <c r="P12" t="e">
        <f>IF(Monitorios="SI",Datos!CH12,0)</f>
        <v>#REF!</v>
      </c>
      <c r="Q12">
        <f>IF(J_V="SI",0,Datos!AG12)</f>
        <v>27</v>
      </c>
      <c r="R12">
        <f>IF(J_V="SI",0,Datos!AH12)</f>
        <v>47</v>
      </c>
      <c r="S12">
        <f>IF(J_V="SI",0,Datos!AI12)</f>
        <v>34</v>
      </c>
      <c r="T12">
        <f>IF(J_V="SI",0,Datos!AJ12)</f>
        <v>40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8.2417582417582416E-2</v>
      </c>
      <c r="I13" s="357">
        <f>IF(ISNUMBER((Tasas!C13-Datos!BE13)/Datos!BE13),(Tasas!C13-Datos!BE13)/Datos!BE13," - ")</f>
        <v>-0.22094710558833114</v>
      </c>
      <c r="J13" s="355">
        <f>IF(ISNUMBER((Tasas!D13-Datos!BF13)/Datos!BF13),(Tasas!D13-Datos!BF13)/Datos!BF13," - ")</f>
        <v>-0.58340468814057167</v>
      </c>
      <c r="K13" s="358">
        <f>IF(ISNUMBER((Tasas!E13-Datos!BG13)/Datos!BG13),(Tasas!E13-Datos!BG13)/Datos!BG13," - ")</f>
        <v>-0.16787048091098414</v>
      </c>
      <c r="M13" t="e">
        <f>IF(Monitorios="SI",Datos!CE13,0)</f>
        <v>#REF!</v>
      </c>
      <c r="N13" t="e">
        <f>IF(Monitorios="SI",Datos!CF13,0)</f>
        <v>#REF!</v>
      </c>
      <c r="O13" t="e">
        <f>IF(Monitorios="SI",Datos!CG13,0)</f>
        <v>#REF!</v>
      </c>
      <c r="P13" t="e">
        <f>IF(Monitorios="SI",Datos!CH13,0)</f>
        <v>#REF!</v>
      </c>
      <c r="Q13">
        <f>IF(J_V="SI",0,Datos!AG13)</f>
        <v>27</v>
      </c>
      <c r="R13">
        <f>IF(J_V="SI",0,Datos!AH13)</f>
        <v>47</v>
      </c>
      <c r="S13">
        <f>IF(J_V="SI",0,Datos!AI13)</f>
        <v>34</v>
      </c>
      <c r="T13">
        <f>IF(J_V="SI",0,Datos!AJ13)</f>
        <v>40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0.17181818181818181</v>
      </c>
      <c r="E16" s="348">
        <f>IF(ISNUMBER(
   IF(D_I="SI",(Datos!J16-Datos!T16)/Datos!T16,(Datos!J16+Datos!AD16-(Datos!T16+Datos!AL16))/(Datos!T16+Datos!AL16))
     ),IF(D_I="SI",(Datos!J16-Datos!T16)/Datos!T16,(Datos!J16+Datos!AD16-(Datos!T16+Datos!AL16))/(Datos!T16+Datos!AL16))," - ")</f>
        <v>-6.5642458100558659E-2</v>
      </c>
      <c r="F16" s="348">
        <f>IF(ISNUMBER(
   IF(D_I="SI",(Datos!K16-Datos!U16)/Datos!U16,(Datos!K16+Datos!AE16-(Datos!U16+Datos!AM16))/(Datos!U16+Datos!AM16))
     ),IF(D_I="SI",(Datos!K16-Datos!U16)/Datos!U16,(Datos!K16+Datos!AE16-(Datos!U16+Datos!AM16))/(Datos!U16+Datos!AM16))," - ")</f>
        <v>-5.8139534883720929E-2</v>
      </c>
      <c r="G16" s="349">
        <f>IF(ISNUMBER(
   IF(D_I="SI",(Datos!L16-Datos!V16)/Datos!V16,(Datos!L16+Datos!AF16-(Datos!V16+Datos!AN16))/(Datos!V16+Datos!AN16))
     ),IF(D_I="SI",(Datos!L16-Datos!V16)/Datos!V16,(Datos!L16+Datos!AF16-(Datos!V16+Datos!AN16))/(Datos!V16+Datos!AN16))," - ")</f>
        <v>0.16608084358523725</v>
      </c>
      <c r="H16" s="230">
        <f>IF(ISNUMBER((Datos!M16-Datos!W16)/Datos!W16),(Datos!M16-Datos!W16)/Datos!W16," - ")</f>
        <v>-0.19327731092436976</v>
      </c>
      <c r="I16" s="350">
        <f>IF(ISNUMBER((Tasas!C16-Datos!BE16)/Datos!BE16),(Tasas!C16-Datos!BE16)/Datos!BE16," - ")</f>
        <v>0.23806114257198019</v>
      </c>
      <c r="J16" s="349">
        <f>IF(ISNUMBER((Tasas!D16-Datos!BF16)/Datos!BF16),(Tasas!D16-Datos!BF16)/Datos!BF16," - ")</f>
        <v>-0.14347961406784943</v>
      </c>
      <c r="K16" s="351">
        <f>IF(ISNUMBER((Tasas!E16-Datos!BG16)/Datos!BG16),(Tasas!E16-Datos!BG16)/Datos!BG16," - ")</f>
        <v>0.14474900745091646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4.2857142857142858E-2</v>
      </c>
      <c r="E17" s="348">
        <f>IF(ISNUMBER(
   IF(D_I="SI",(Datos!J17-Datos!T17)/Datos!T17,(Datos!J17+Datos!AD17-(Datos!T17+Datos!AL17))/(Datos!T17+Datos!AL17))
     ),IF(D_I="SI",(Datos!J17-Datos!T17)/Datos!T17,(Datos!J17+Datos!AD17-(Datos!T17+Datos!AL17))/(Datos!T17+Datos!AL17))," - ")</f>
        <v>-0.14102564102564102</v>
      </c>
      <c r="F17" s="348">
        <f>IF(ISNUMBER(
   IF(D_I="SI",(Datos!K17-Datos!U17)/Datos!U17,(Datos!K17+Datos!AE17-(Datos!U17+Datos!AM17))/(Datos!U17+Datos!AM17))
     ),IF(D_I="SI",(Datos!K17-Datos!U17)/Datos!U17,(Datos!K17+Datos!AE17-(Datos!U17+Datos!AM17))/(Datos!U17+Datos!AM17))," - ")</f>
        <v>-6.8493150684931503E-2</v>
      </c>
      <c r="G17" s="349">
        <f>IF(ISNUMBER(
   IF(D_I="SI",(Datos!L17-Datos!V17)/Datos!V17,(Datos!L17+Datos!AF17-(Datos!V17+Datos!AN17))/(Datos!V17+Datos!AN17))
     ),IF(D_I="SI",(Datos!L17-Datos!V17)/Datos!V17,(Datos!L17+Datos!AF17-(Datos!V17+Datos!AN17))/(Datos!V17+Datos!AN17))," - ")</f>
        <v>-0.04</v>
      </c>
      <c r="H17" s="230">
        <f>IF(ISNUMBER((Datos!M17-Datos!W17)/Datos!W17),(Datos!M17-Datos!W17)/Datos!W17," - ")</f>
        <v>-0.25</v>
      </c>
      <c r="I17" s="350">
        <f>IF(ISNUMBER((Tasas!C17-Datos!BE17)/Datos!BE17),(Tasas!C17-Datos!BE17)/Datos!BE17," - ")</f>
        <v>3.0588235294117552E-2</v>
      </c>
      <c r="J17" s="349">
        <f>IF(ISNUMBER((Tasas!D17-Datos!BF17)/Datos!BF17),(Tasas!D17-Datos!BF17)/Datos!BF17," - ")</f>
        <v>-0.19485294117647048</v>
      </c>
      <c r="K17" s="351">
        <f>IF(ISNUMBER((Tasas!E17-Datos!BG17)/Datos!BG17),(Tasas!E17-Datos!BG17)/Datos!BG17," - ")</f>
        <v>1.550079491255946E-2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0.1641025641025641</v>
      </c>
      <c r="E18" s="354">
        <f>IF(ISNUMBER(
   IF(D_I="SI",(Datos!J18-Datos!T18)/Datos!T18,(Datos!J18+Datos!AD18-(Datos!T18+Datos!AL18))/(Datos!T18+Datos!AL18))
     ),IF(D_I="SI",(Datos!J18-Datos!T18)/Datos!T18,(Datos!J18+Datos!AD18-(Datos!T18+Datos!AL18))/(Datos!T18+Datos!AL18))," - ")</f>
        <v>-7.3047858942065488E-2</v>
      </c>
      <c r="F18" s="354">
        <f>IF(ISNUMBER(
   IF(D_I="SI",(Datos!K18-Datos!U18)/Datos!U18,(Datos!K18+Datos!AE18-(Datos!U18+Datos!AM18))/(Datos!U18+Datos!AM18))
     ),IF(D_I="SI",(Datos!K18-Datos!U18)/Datos!U18,(Datos!K18+Datos!AE18-(Datos!U18+Datos!AM18))/(Datos!U18+Datos!AM18))," - ")</f>
        <v>-5.9132720105124839E-2</v>
      </c>
      <c r="G18" s="355">
        <f>IF(ISNUMBER(
   IF(D_I="SI",(Datos!L18-Datos!V18)/Datos!V18,(Datos!L18+Datos!AF18-(Datos!V18+Datos!AN18))/(Datos!V18+Datos!AN18))
     ),IF(D_I="SI",(Datos!L18-Datos!V18)/Datos!V18,(Datos!L18+Datos!AF18-(Datos!V18+Datos!AN18))/(Datos!V18+Datos!AN18))," - ")</f>
        <v>0.15333882934872217</v>
      </c>
      <c r="H18" s="356">
        <f>IF(ISNUMBER((Datos!M18-Datos!W18)/Datos!W18),(Datos!M18-Datos!W18)/Datos!W18," - ")</f>
        <v>-0.1951219512195122</v>
      </c>
      <c r="I18" s="357">
        <f>IF(ISNUMBER((Tasas!C18-Datos!BE18)/Datos!BE18),(Tasas!C18-Datos!BE18)/Datos!BE18," - ")</f>
        <v>0.22582520828823685</v>
      </c>
      <c r="J18" s="355">
        <f>IF(ISNUMBER((Tasas!D18-Datos!BF18)/Datos!BF18),(Tasas!D18-Datos!BF18)/Datos!BF18," - ")</f>
        <v>-0.14453604033247033</v>
      </c>
      <c r="K18" s="358">
        <f>IF(ISNUMBER((Tasas!E18-Datos!BG18)/Datos!BG18),(Tasas!E18-Datos!BG18)/Datos!BG18," - ")</f>
        <v>0.13536534719930823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7.8976953344575607E-2</v>
      </c>
      <c r="E19" s="363">
        <f>IF(ISNUMBER(
   IF(J_V="SI",(Datos!J19-Datos!T19)/Datos!T19,(Datos!J19+Datos!Z19-(Datos!T19+Datos!AH19))/(Datos!T19+Datos!AH19))
     ),IF(J_V="SI",(Datos!J19-Datos!T19)/Datos!T19,(Datos!J19+Datos!Z19-(Datos!T19+Datos!AH19))/(Datos!T19+Datos!AH19))," - ")</f>
        <v>0.14686098654708521</v>
      </c>
      <c r="F19" s="363">
        <f>IF(ISNUMBER(
   IF(J_V="SI",(Datos!K19-Datos!U19)/Datos!U19,(Datos!K19+Datos!AA19-(Datos!U19+Datos!AI19))/(Datos!U19+Datos!AI19))
     ),IF(J_V="SI",(Datos!K19-Datos!U19)/Datos!U19,(Datos!K19+Datos!AA19-(Datos!U19+Datos!AI19))/(Datos!U19+Datos!AI19))," - ")</f>
        <v>0.15101522842639595</v>
      </c>
      <c r="G19" s="364">
        <f>IF(ISNUMBER(
   IF(J_V="SI",(Datos!L19-Datos!V19)/Datos!V19,(Datos!L19+Datos!AB19-(Datos!V19+Datos!AJ19))/(Datos!V19+Datos!AJ19))
     ),IF(J_V="SI",(Datos!L19-Datos!V19)/Datos!V19,(Datos!L19+Datos!AB19-(Datos!V19+Datos!AJ19))/(Datos!V19+Datos!AJ19))," - ")</f>
        <v>8.2913907284768218E-2</v>
      </c>
      <c r="H19" s="365">
        <f>IF(ISNUMBER((Datos!M19-Datos!W19)/Datos!W19),(Datos!M19-Datos!W19)/Datos!W19," - ")</f>
        <v>-2.9508196721311476E-2</v>
      </c>
      <c r="I19" s="362">
        <f>IF(ISNUMBER((Tasas!C19-Datos!BE19)/Datos!BE19),(Tasas!C19-Datos!BE19)/Datos!BE19," - ")</f>
        <v>-5.9166307673211377E-2</v>
      </c>
      <c r="J19" s="363">
        <f>IF(ISNUMBER((Tasas!D19-Datos!BF19)/Datos!BF19),(Tasas!D19-Datos!BF19)/Datos!BF19," - ")</f>
        <v>-0.45745932945352369</v>
      </c>
      <c r="K19" s="364">
        <f>IF(ISNUMBER((Tasas!E19-Datos!BG19)/Datos!BG19),(Tasas!E19-Datos!BG19)/Datos!BG19," - ")</f>
        <v>-4.2890749059789929E-2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0.17349110492399861</v>
      </c>
      <c r="E21" s="278">
        <f t="shared" si="1"/>
        <v>0.38345579473537211</v>
      </c>
      <c r="F21" s="278">
        <f t="shared" si="1"/>
        <v>0.13104393649379223</v>
      </c>
      <c r="G21" s="279">
        <f t="shared" si="1"/>
        <v>0.25391444364225196</v>
      </c>
      <c r="H21" s="285">
        <f t="shared" si="1"/>
        <v>0.15118462868287821</v>
      </c>
      <c r="I21" s="277">
        <f t="shared" si="1"/>
        <v>0.28516595403613199</v>
      </c>
      <c r="J21" s="278">
        <f t="shared" si="1"/>
        <v>0.21852877393158127</v>
      </c>
      <c r="K21" s="279">
        <f t="shared" si="1"/>
        <v>0.21888532639052874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IK8bcq4eYjULsSaLoKmdj1PIzsE3FF2RMqxJXk3DwGITq2SeohtTBY4FMhO7DsZZ/PQ9UoIlh4f+z8y4LhGgQ==" saltValue="xpVyySmz7BuUXM64T2xmn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